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Archivos de Trabajo\Mis documentos\CONJ NOGALES DE LA COLINA\INFORMES 2020 NOGALES\"/>
    </mc:Choice>
  </mc:AlternateContent>
  <bookViews>
    <workbookView xWindow="0" yWindow="0" windowWidth="28800" windowHeight="12345" tabRatio="945" firstSheet="7" activeTab="13"/>
  </bookViews>
  <sheets>
    <sheet name="ESF (3)" sheetId="29" state="hidden" r:id="rId1"/>
    <sheet name="ENE (2)" sheetId="48" state="hidden" r:id="rId2"/>
    <sheet name="ABRIL (2)" sheetId="54" state="hidden" r:id="rId3"/>
    <sheet name="FEB (2)" sheetId="49" state="hidden" r:id="rId4"/>
    <sheet name="MARZ (2)" sheetId="53" state="hidden" r:id="rId5"/>
    <sheet name="mayo (2)" sheetId="55" state="hidden" r:id="rId6"/>
    <sheet name="EJEC (2)" sheetId="56" state="hidden" r:id="rId7"/>
    <sheet name="junio" sheetId="46" r:id="rId8"/>
    <sheet name="EFECTIVO" sheetId="19" r:id="rId9"/>
    <sheet name="ESF" sheetId="20" state="hidden" r:id="rId10"/>
    <sheet name="CXCOBRAR" sheetId="47" r:id="rId11"/>
    <sheet name="abogado" sheetId="25" state="hidden" r:id="rId12"/>
    <sheet name="CONCI (2)" sheetId="26" r:id="rId13"/>
    <sheet name="EJEC" sheetId="45" r:id="rId14"/>
    <sheet name="reclas" sheetId="50" state="hidden" r:id="rId15"/>
    <sheet name="reclas (2)" sheetId="52" state="hidden" r:id="rId16"/>
    <sheet name="PRY20 (3)" sheetId="51" state="hidden" r:id="rId17"/>
    <sheet name="OTROS ING (2)" sheetId="38" state="hidden" r:id="rId18"/>
    <sheet name="OBRAS" sheetId="27" state="hidden" r:id="rId19"/>
  </sheets>
  <externalReferences>
    <externalReference r:id="rId20"/>
    <externalReference r:id="rId21"/>
    <externalReference r:id="rId22"/>
  </externalReferences>
  <definedNames>
    <definedName name="_xlnm.Print_Area" localSheetId="11">abogado!$B$1:$P$79</definedName>
    <definedName name="_xlnm.Print_Area" localSheetId="2">'ABRIL (2)'!$A$1:$E$57</definedName>
    <definedName name="_xlnm.Print_Area" localSheetId="12">'CONCI (2)'!$A$1:$F$40</definedName>
    <definedName name="_xlnm.Print_Area" localSheetId="10">CXCOBRAR!$A$1:$K$55</definedName>
    <definedName name="_xlnm.Print_Area" localSheetId="8">EFECTIVO!$B$1:$O$71</definedName>
    <definedName name="_xlnm.Print_Area" localSheetId="13">EJEC!$A$1:$Q$90</definedName>
    <definedName name="_xlnm.Print_Area" localSheetId="6">'EJEC (2)'!$A$1:$Q$93</definedName>
    <definedName name="_xlnm.Print_Area" localSheetId="1">'ENE (2)'!$A$1:$E$80</definedName>
    <definedName name="_xlnm.Print_Area" localSheetId="3">'FEB (2)'!$A$1:$E$55</definedName>
    <definedName name="_xlnm.Print_Area" localSheetId="7">junio!$A$1:$E$57</definedName>
    <definedName name="_xlnm.Print_Area" localSheetId="4">'MARZ (2)'!$A$1:$E$66</definedName>
    <definedName name="_xlnm.Print_Area" localSheetId="5">'mayo (2)'!$A$1:$E$57</definedName>
    <definedName name="_xlnm.Print_Area" localSheetId="17">'OTROS ING (2)'!$A$1:$B$32</definedName>
    <definedName name="_xlnm.Print_Area" localSheetId="16">'PRY20 (3)'!$B$1:$J$89</definedName>
    <definedName name="BALCON12" localSheetId="2">#REF!</definedName>
    <definedName name="BALCON12" localSheetId="6">#REF!</definedName>
    <definedName name="BALCON12" localSheetId="1">#REF!</definedName>
    <definedName name="BALCON12" localSheetId="3">#REF!</definedName>
    <definedName name="BALCON12" localSheetId="7">#REF!</definedName>
    <definedName name="BALCON12" localSheetId="4">#REF!</definedName>
    <definedName name="BALCON12" localSheetId="5">#REF!</definedName>
    <definedName name="BALCON12" localSheetId="16">#REF!</definedName>
    <definedName name="BALCON12" localSheetId="15">#REF!</definedName>
    <definedName name="BALCON12">#REF!</definedName>
    <definedName name="BuiltIn_Print_Area" localSheetId="2">#REF!</definedName>
    <definedName name="BuiltIn_Print_Area" localSheetId="6">#REF!</definedName>
    <definedName name="BuiltIn_Print_Area" localSheetId="1">#REF!</definedName>
    <definedName name="BuiltIn_Print_Area" localSheetId="3">#REF!</definedName>
    <definedName name="BuiltIn_Print_Area" localSheetId="7">#REF!</definedName>
    <definedName name="BuiltIn_Print_Area" localSheetId="4">#REF!</definedName>
    <definedName name="BuiltIn_Print_Area" localSheetId="5">#REF!</definedName>
    <definedName name="BuiltIn_Print_Area" localSheetId="16">#REF!</definedName>
    <definedName name="BuiltIn_Print_Area" localSheetId="15">#REF!</definedName>
    <definedName name="BuiltIn_Print_Area">#REF!</definedName>
    <definedName name="BuiltIn_Print_Titles" localSheetId="2">#REF!</definedName>
    <definedName name="BuiltIn_Print_Titles" localSheetId="6">#REF!</definedName>
    <definedName name="BuiltIn_Print_Titles" localSheetId="1">#REF!</definedName>
    <definedName name="BuiltIn_Print_Titles" localSheetId="3">#REF!</definedName>
    <definedName name="BuiltIn_Print_Titles" localSheetId="7">#REF!</definedName>
    <definedName name="BuiltIn_Print_Titles" localSheetId="4">#REF!</definedName>
    <definedName name="BuiltIn_Print_Titles" localSheetId="5">#REF!</definedName>
    <definedName name="BuiltIn_Print_Titles" localSheetId="16">#REF!</definedName>
    <definedName name="BuiltIn_Print_Titles" localSheetId="15">#REF!</definedName>
    <definedName name="BuiltIn_Print_Titles">#REF!</definedName>
    <definedName name="COMP" localSheetId="2">#REF!</definedName>
    <definedName name="COMP" localSheetId="6">#REF!</definedName>
    <definedName name="COMP" localSheetId="1">#REF!</definedName>
    <definedName name="COMP" localSheetId="3">#REF!</definedName>
    <definedName name="COMP" localSheetId="7">#REF!</definedName>
    <definedName name="COMP" localSheetId="4">#REF!</definedName>
    <definedName name="COMP" localSheetId="5">#REF!</definedName>
    <definedName name="COMP" localSheetId="16">#REF!</definedName>
    <definedName name="COMP" localSheetId="15">#REF!</definedName>
    <definedName name="COMP">#REF!</definedName>
    <definedName name="D" localSheetId="2">#REF!</definedName>
    <definedName name="D" localSheetId="6">#REF!</definedName>
    <definedName name="D" localSheetId="1">#REF!</definedName>
    <definedName name="D" localSheetId="3">#REF!</definedName>
    <definedName name="D" localSheetId="7">#REF!</definedName>
    <definedName name="D" localSheetId="4">#REF!</definedName>
    <definedName name="D" localSheetId="5">#REF!</definedName>
    <definedName name="D" localSheetId="16">#REF!</definedName>
    <definedName name="D" localSheetId="15">#REF!</definedName>
    <definedName name="D">#REF!</definedName>
    <definedName name="efectivo" localSheetId="2">#REF!</definedName>
    <definedName name="efectivo" localSheetId="6">#REF!</definedName>
    <definedName name="efectivo" localSheetId="1">#REF!</definedName>
    <definedName name="efectivo" localSheetId="3">#REF!</definedName>
    <definedName name="efectivo" localSheetId="7">#REF!</definedName>
    <definedName name="efectivo" localSheetId="4">#REF!</definedName>
    <definedName name="efectivo" localSheetId="5">#REF!</definedName>
    <definedName name="efectivo" localSheetId="16">#REF!</definedName>
    <definedName name="efectivo" localSheetId="15">#REF!</definedName>
    <definedName name="efectivo">#REF!</definedName>
    <definedName name="G" localSheetId="2">#REF!</definedName>
    <definedName name="G" localSheetId="6">#REF!</definedName>
    <definedName name="G" localSheetId="1">#REF!</definedName>
    <definedName name="G" localSheetId="3">#REF!</definedName>
    <definedName name="G" localSheetId="7">#REF!</definedName>
    <definedName name="G" localSheetId="4">#REF!</definedName>
    <definedName name="G" localSheetId="5">#REF!</definedName>
    <definedName name="G" localSheetId="16">#REF!</definedName>
    <definedName name="G" localSheetId="15">#REF!</definedName>
    <definedName name="G">#REF!</definedName>
    <definedName name="o" localSheetId="2">[1]NOGALES!$M$1:$AB$128</definedName>
    <definedName name="o" localSheetId="1">[1]NOGALES!$M$1:$AB$128</definedName>
    <definedName name="o" localSheetId="3">[1]NOGALES!$M$1:$AB$128</definedName>
    <definedName name="o" localSheetId="7">[1]NOGALES!$M$1:$AB$128</definedName>
    <definedName name="o" localSheetId="4">[1]NOGALES!$M$1:$AB$128</definedName>
    <definedName name="o" localSheetId="5">[1]NOGALES!$M$1:$AB$128</definedName>
    <definedName name="o" localSheetId="16">[2]NOGALES!$M$1:$AB$128</definedName>
    <definedName name="o">[1]NOGALES!$M$1:$AB$128</definedName>
    <definedName name="_xlnm.Print_Titles" localSheetId="10">CXCOBRAR!$84:$87</definedName>
    <definedName name="_xlnm.Print_Titles" localSheetId="13">EJEC!$1:$5</definedName>
    <definedName name="_xlnm.Print_Titles" localSheetId="6">'EJEC (2)'!$1:$5</definedName>
    <definedName name="_xlnm.Print_Titles" localSheetId="16">'PRY20 (3)'!$1:$6</definedName>
  </definedNames>
  <calcPr calcId="162913"/>
  <fileRecoveryPr autoRecover="0"/>
</workbook>
</file>

<file path=xl/calcChain.xml><?xml version="1.0" encoding="utf-8"?>
<calcChain xmlns="http://schemas.openxmlformats.org/spreadsheetml/2006/main">
  <c r="H50" i="53" l="1"/>
  <c r="H50" i="55"/>
  <c r="B52" i="55"/>
  <c r="J54" i="47" l="1"/>
  <c r="I54" i="47"/>
  <c r="H54" i="47"/>
  <c r="G54" i="47"/>
  <c r="F54" i="47"/>
  <c r="E54" i="47"/>
  <c r="D54" i="47"/>
  <c r="O179" i="19"/>
  <c r="O181" i="19"/>
  <c r="O73" i="19"/>
  <c r="H27" i="19"/>
  <c r="O26" i="19"/>
  <c r="S17" i="19"/>
  <c r="V17" i="19"/>
  <c r="H15" i="19"/>
  <c r="H66" i="19"/>
  <c r="H46" i="19"/>
  <c r="O46" i="19" s="1"/>
  <c r="H45" i="19"/>
  <c r="O45" i="19" s="1"/>
  <c r="H61" i="19"/>
  <c r="H59" i="19"/>
  <c r="H58" i="19"/>
  <c r="H57" i="19"/>
  <c r="H56" i="19"/>
  <c r="H55" i="19"/>
  <c r="H54" i="19"/>
  <c r="H53" i="19"/>
  <c r="H52" i="19"/>
  <c r="H51" i="19"/>
  <c r="H50" i="19"/>
  <c r="H49" i="19"/>
  <c r="H48" i="19"/>
  <c r="H47" i="19"/>
  <c r="H44" i="19"/>
  <c r="H43" i="19"/>
  <c r="H42" i="19"/>
  <c r="H41" i="19"/>
  <c r="H40" i="19"/>
  <c r="H39" i="19"/>
  <c r="H38" i="19"/>
  <c r="H37" i="19"/>
  <c r="H36" i="19"/>
  <c r="G35" i="19"/>
  <c r="H35" i="19"/>
  <c r="K41" i="47" l="1"/>
  <c r="K40" i="47"/>
  <c r="K39" i="47"/>
  <c r="K38" i="47"/>
  <c r="K37" i="47"/>
  <c r="K36" i="47"/>
  <c r="K35" i="47"/>
  <c r="K34" i="47"/>
  <c r="K33" i="47"/>
  <c r="K32" i="47"/>
  <c r="K31" i="47"/>
  <c r="K30" i="47"/>
  <c r="K29" i="47"/>
  <c r="K28" i="47"/>
  <c r="K27" i="47"/>
  <c r="K26" i="47"/>
  <c r="K25" i="47"/>
  <c r="K24" i="47"/>
  <c r="K23" i="47"/>
  <c r="K22" i="47"/>
  <c r="K53" i="47"/>
  <c r="K21" i="47"/>
  <c r="K20" i="47"/>
  <c r="K19" i="47"/>
  <c r="K18" i="47"/>
  <c r="K17" i="47"/>
  <c r="K16" i="47"/>
  <c r="K15" i="47"/>
  <c r="K14" i="47"/>
  <c r="K13" i="47"/>
  <c r="K12" i="47"/>
  <c r="K11" i="47"/>
  <c r="K10" i="47"/>
  <c r="K9" i="47"/>
  <c r="K8" i="47"/>
  <c r="K7" i="47"/>
  <c r="G7" i="47"/>
  <c r="H10" i="19" l="1"/>
  <c r="H9" i="19"/>
  <c r="H8" i="19"/>
  <c r="AB17" i="19"/>
  <c r="AA17" i="19"/>
  <c r="Z17" i="19"/>
  <c r="Y17" i="19"/>
  <c r="X17" i="19"/>
  <c r="W17" i="19"/>
  <c r="T17" i="19"/>
  <c r="U17" i="19"/>
  <c r="R17" i="19"/>
  <c r="V16" i="19"/>
  <c r="H19" i="19"/>
  <c r="H18" i="19"/>
  <c r="G66" i="56"/>
  <c r="B66" i="45"/>
  <c r="C66" i="45" s="1"/>
  <c r="P91" i="56"/>
  <c r="U91" i="56" s="1"/>
  <c r="O91" i="56"/>
  <c r="N91" i="56"/>
  <c r="M91" i="56"/>
  <c r="L91" i="56"/>
  <c r="K91" i="56"/>
  <c r="J91" i="56"/>
  <c r="I91" i="56"/>
  <c r="H91" i="56"/>
  <c r="G91" i="56"/>
  <c r="F91" i="56"/>
  <c r="E91" i="56"/>
  <c r="D91" i="56"/>
  <c r="P90" i="56"/>
  <c r="U89" i="56"/>
  <c r="P89" i="56"/>
  <c r="O87" i="56"/>
  <c r="N87" i="56"/>
  <c r="M87" i="56"/>
  <c r="L87" i="56"/>
  <c r="K87" i="56"/>
  <c r="J87" i="56"/>
  <c r="I87" i="56"/>
  <c r="H87" i="56"/>
  <c r="G87" i="56"/>
  <c r="F87" i="56"/>
  <c r="E87" i="56"/>
  <c r="U86" i="56"/>
  <c r="V86" i="56" s="1"/>
  <c r="T86" i="56"/>
  <c r="P86" i="56"/>
  <c r="C86" i="56"/>
  <c r="T85" i="56"/>
  <c r="P85" i="56"/>
  <c r="B85" i="56"/>
  <c r="B87" i="56" s="1"/>
  <c r="U84" i="56"/>
  <c r="V84" i="56" s="1"/>
  <c r="T84" i="56"/>
  <c r="Q84" i="56"/>
  <c r="P84" i="56"/>
  <c r="C84" i="56"/>
  <c r="R84" i="56" s="1"/>
  <c r="S84" i="56" s="1"/>
  <c r="T83" i="56"/>
  <c r="G83" i="56"/>
  <c r="D83" i="56"/>
  <c r="C83" i="56"/>
  <c r="U82" i="56"/>
  <c r="V82" i="56" s="1"/>
  <c r="T82" i="56"/>
  <c r="Q82" i="56"/>
  <c r="P82" i="56"/>
  <c r="C82" i="56"/>
  <c r="R82" i="56" s="1"/>
  <c r="S82" i="56" s="1"/>
  <c r="V81" i="56"/>
  <c r="T81" i="56"/>
  <c r="R81" i="56"/>
  <c r="S81" i="56" s="1"/>
  <c r="P81" i="56"/>
  <c r="U81" i="56" s="1"/>
  <c r="C81" i="56"/>
  <c r="U80" i="56"/>
  <c r="V80" i="56" s="1"/>
  <c r="T80" i="56"/>
  <c r="P80" i="56"/>
  <c r="C80" i="56"/>
  <c r="T79" i="56"/>
  <c r="P79" i="56"/>
  <c r="C79" i="56"/>
  <c r="U78" i="56"/>
  <c r="V78" i="56" s="1"/>
  <c r="T78" i="56"/>
  <c r="Q78" i="56"/>
  <c r="P78" i="56"/>
  <c r="C78" i="56"/>
  <c r="C87" i="56" s="1"/>
  <c r="T77" i="56"/>
  <c r="R77" i="56"/>
  <c r="S77" i="56" s="1"/>
  <c r="P77" i="56"/>
  <c r="U77" i="56" s="1"/>
  <c r="V77" i="56" s="1"/>
  <c r="C77" i="56"/>
  <c r="AG76" i="56"/>
  <c r="T76" i="56"/>
  <c r="T87" i="56" s="1"/>
  <c r="P76" i="56"/>
  <c r="C76" i="56"/>
  <c r="O75" i="56"/>
  <c r="N75" i="56"/>
  <c r="M75" i="56"/>
  <c r="L75" i="56"/>
  <c r="K75" i="56"/>
  <c r="J75" i="56"/>
  <c r="I75" i="56"/>
  <c r="H75" i="56"/>
  <c r="G75" i="56"/>
  <c r="E75" i="56"/>
  <c r="D75" i="56"/>
  <c r="B75" i="56"/>
  <c r="U74" i="56"/>
  <c r="V74" i="56" s="1"/>
  <c r="T74" i="56"/>
  <c r="P74" i="56"/>
  <c r="C74" i="56"/>
  <c r="T73" i="56"/>
  <c r="R73" i="56"/>
  <c r="S73" i="56" s="1"/>
  <c r="P73" i="56"/>
  <c r="C73" i="56"/>
  <c r="U72" i="56"/>
  <c r="V72" i="56" s="1"/>
  <c r="T72" i="56"/>
  <c r="S72" i="56"/>
  <c r="W72" i="56" s="1"/>
  <c r="Q72" i="56"/>
  <c r="P72" i="56"/>
  <c r="C72" i="56"/>
  <c r="R72" i="56" s="1"/>
  <c r="T71" i="56"/>
  <c r="R71" i="56"/>
  <c r="S71" i="56" s="1"/>
  <c r="P71" i="56"/>
  <c r="C71" i="56"/>
  <c r="U70" i="56"/>
  <c r="V70" i="56" s="1"/>
  <c r="T70" i="56"/>
  <c r="S70" i="56"/>
  <c r="W70" i="56" s="1"/>
  <c r="Q70" i="56"/>
  <c r="P70" i="56"/>
  <c r="C70" i="56"/>
  <c r="R70" i="56" s="1"/>
  <c r="T69" i="56"/>
  <c r="R69" i="56"/>
  <c r="S69" i="56" s="1"/>
  <c r="P69" i="56"/>
  <c r="C69" i="56"/>
  <c r="AC68" i="56"/>
  <c r="T68" i="56"/>
  <c r="R68" i="56"/>
  <c r="S68" i="56" s="1"/>
  <c r="P68" i="56"/>
  <c r="C68" i="56"/>
  <c r="U67" i="56"/>
  <c r="V67" i="56" s="1"/>
  <c r="T67" i="56"/>
  <c r="S67" i="56"/>
  <c r="P67" i="56"/>
  <c r="C67" i="56"/>
  <c r="R67" i="56" s="1"/>
  <c r="T66" i="56"/>
  <c r="P66" i="56"/>
  <c r="R66" i="56" s="1"/>
  <c r="S66" i="56" s="1"/>
  <c r="C66" i="56"/>
  <c r="U65" i="56"/>
  <c r="V65" i="56" s="1"/>
  <c r="T65" i="56"/>
  <c r="S65" i="56"/>
  <c r="P65" i="56"/>
  <c r="C65" i="56"/>
  <c r="R65" i="56" s="1"/>
  <c r="T64" i="56"/>
  <c r="R64" i="56"/>
  <c r="S64" i="56" s="1"/>
  <c r="P64" i="56"/>
  <c r="C64" i="56"/>
  <c r="U63" i="56"/>
  <c r="V63" i="56" s="1"/>
  <c r="T63" i="56"/>
  <c r="S63" i="56"/>
  <c r="P63" i="56"/>
  <c r="C63" i="56"/>
  <c r="R63" i="56" s="1"/>
  <c r="T62" i="56"/>
  <c r="R62" i="56"/>
  <c r="S62" i="56" s="1"/>
  <c r="P62" i="56"/>
  <c r="C62" i="56"/>
  <c r="U61" i="56"/>
  <c r="V61" i="56" s="1"/>
  <c r="T61" i="56"/>
  <c r="S61" i="56"/>
  <c r="P61" i="56"/>
  <c r="C61" i="56"/>
  <c r="R61" i="56" s="1"/>
  <c r="AG59" i="56"/>
  <c r="U59" i="56"/>
  <c r="V59" i="56" s="1"/>
  <c r="T59" i="56"/>
  <c r="S59" i="56"/>
  <c r="P59" i="56"/>
  <c r="C59" i="56"/>
  <c r="R59" i="56" s="1"/>
  <c r="T58" i="56"/>
  <c r="R58" i="56"/>
  <c r="S58" i="56" s="1"/>
  <c r="P58" i="56"/>
  <c r="C58" i="56"/>
  <c r="U57" i="56"/>
  <c r="V57" i="56" s="1"/>
  <c r="T57" i="56"/>
  <c r="S57" i="56"/>
  <c r="P57" i="56"/>
  <c r="C57" i="56"/>
  <c r="R57" i="56" s="1"/>
  <c r="AF56" i="56"/>
  <c r="U56" i="56"/>
  <c r="V56" i="56" s="1"/>
  <c r="T56" i="56"/>
  <c r="S56" i="56"/>
  <c r="P56" i="56"/>
  <c r="C56" i="56"/>
  <c r="R56" i="56" s="1"/>
  <c r="T55" i="56"/>
  <c r="R55" i="56"/>
  <c r="S55" i="56" s="1"/>
  <c r="P55" i="56"/>
  <c r="C55" i="56"/>
  <c r="U54" i="56"/>
  <c r="V54" i="56" s="1"/>
  <c r="T54" i="56"/>
  <c r="S54" i="56"/>
  <c r="P54" i="56"/>
  <c r="C54" i="56"/>
  <c r="R54" i="56" s="1"/>
  <c r="T53" i="56"/>
  <c r="R53" i="56"/>
  <c r="S53" i="56" s="1"/>
  <c r="P53" i="56"/>
  <c r="C53" i="56"/>
  <c r="U52" i="56"/>
  <c r="V52" i="56" s="1"/>
  <c r="T52" i="56"/>
  <c r="S52" i="56"/>
  <c r="P52" i="56"/>
  <c r="C52" i="56"/>
  <c r="R52" i="56" s="1"/>
  <c r="T51" i="56"/>
  <c r="R51" i="56"/>
  <c r="S51" i="56" s="1"/>
  <c r="P51" i="56"/>
  <c r="F51" i="56"/>
  <c r="F75" i="56" s="1"/>
  <c r="C51" i="56"/>
  <c r="T50" i="56"/>
  <c r="R50" i="56"/>
  <c r="S50" i="56" s="1"/>
  <c r="P50" i="56"/>
  <c r="C50" i="56"/>
  <c r="U49" i="56"/>
  <c r="V49" i="56" s="1"/>
  <c r="T49" i="56"/>
  <c r="S49" i="56"/>
  <c r="W49" i="56" s="1"/>
  <c r="Q49" i="56"/>
  <c r="P49" i="56"/>
  <c r="C49" i="56"/>
  <c r="R49" i="56" s="1"/>
  <c r="T48" i="56"/>
  <c r="R48" i="56"/>
  <c r="S48" i="56" s="1"/>
  <c r="P48" i="56"/>
  <c r="C48" i="56"/>
  <c r="U47" i="56"/>
  <c r="V47" i="56" s="1"/>
  <c r="T47" i="56"/>
  <c r="S47" i="56"/>
  <c r="W47" i="56" s="1"/>
  <c r="Q47" i="56"/>
  <c r="P47" i="56"/>
  <c r="C47" i="56"/>
  <c r="R47" i="56" s="1"/>
  <c r="T46" i="56"/>
  <c r="R46" i="56"/>
  <c r="S46" i="56" s="1"/>
  <c r="P46" i="56"/>
  <c r="C46" i="56"/>
  <c r="U45" i="56"/>
  <c r="V45" i="56" s="1"/>
  <c r="T45" i="56"/>
  <c r="Q45" i="56"/>
  <c r="P45" i="56"/>
  <c r="C45" i="56"/>
  <c r="R45" i="56" s="1"/>
  <c r="S45" i="56" s="1"/>
  <c r="V44" i="56"/>
  <c r="T44" i="56"/>
  <c r="R44" i="56"/>
  <c r="S44" i="56" s="1"/>
  <c r="P44" i="56"/>
  <c r="U44" i="56" s="1"/>
  <c r="C44" i="56"/>
  <c r="U43" i="56"/>
  <c r="V43" i="56" s="1"/>
  <c r="T43" i="56"/>
  <c r="P43" i="56"/>
  <c r="C43" i="56"/>
  <c r="T42" i="56"/>
  <c r="P42" i="56"/>
  <c r="C42" i="56"/>
  <c r="U41" i="56"/>
  <c r="V41" i="56" s="1"/>
  <c r="T41" i="56"/>
  <c r="Q41" i="56"/>
  <c r="P41" i="56"/>
  <c r="C41" i="56"/>
  <c r="R41" i="56" s="1"/>
  <c r="S41" i="56" s="1"/>
  <c r="V40" i="56"/>
  <c r="T40" i="56"/>
  <c r="R40" i="56"/>
  <c r="S40" i="56" s="1"/>
  <c r="P40" i="56"/>
  <c r="U40" i="56" s="1"/>
  <c r="C40" i="56"/>
  <c r="U39" i="56"/>
  <c r="V39" i="56" s="1"/>
  <c r="T39" i="56"/>
  <c r="P39" i="56"/>
  <c r="C39" i="56"/>
  <c r="T38" i="56"/>
  <c r="P38" i="56"/>
  <c r="C38" i="56"/>
  <c r="U37" i="56"/>
  <c r="V37" i="56" s="1"/>
  <c r="T37" i="56"/>
  <c r="Q37" i="56"/>
  <c r="P37" i="56"/>
  <c r="C37" i="56"/>
  <c r="R37" i="56" s="1"/>
  <c r="S37" i="56" s="1"/>
  <c r="W37" i="56" s="1"/>
  <c r="T36" i="56"/>
  <c r="R36" i="56"/>
  <c r="P36" i="56"/>
  <c r="C36" i="56"/>
  <c r="O35" i="56"/>
  <c r="O88" i="56" s="1"/>
  <c r="N35" i="56"/>
  <c r="M35" i="56"/>
  <c r="L35" i="56"/>
  <c r="K35" i="56"/>
  <c r="J35" i="56"/>
  <c r="I35" i="56"/>
  <c r="G35" i="56"/>
  <c r="F35" i="56"/>
  <c r="E35" i="56"/>
  <c r="D35" i="56"/>
  <c r="B35" i="56"/>
  <c r="U34" i="56"/>
  <c r="V34" i="56" s="1"/>
  <c r="T34" i="56"/>
  <c r="Q34" i="56"/>
  <c r="P34" i="56"/>
  <c r="C34" i="56"/>
  <c r="R34" i="56" s="1"/>
  <c r="S34" i="56" s="1"/>
  <c r="V33" i="56"/>
  <c r="T33" i="56"/>
  <c r="R33" i="56"/>
  <c r="S33" i="56" s="1"/>
  <c r="P33" i="56"/>
  <c r="U33" i="56" s="1"/>
  <c r="C33" i="56"/>
  <c r="U32" i="56"/>
  <c r="V32" i="56" s="1"/>
  <c r="T32" i="56"/>
  <c r="P32" i="56"/>
  <c r="C32" i="56"/>
  <c r="T31" i="56"/>
  <c r="P31" i="56"/>
  <c r="C31" i="56"/>
  <c r="U30" i="56"/>
  <c r="V30" i="56" s="1"/>
  <c r="T30" i="56"/>
  <c r="Q30" i="56"/>
  <c r="P30" i="56"/>
  <c r="C30" i="56"/>
  <c r="R30" i="56" s="1"/>
  <c r="S30" i="56" s="1"/>
  <c r="W30" i="56" s="1"/>
  <c r="T29" i="56"/>
  <c r="R29" i="56"/>
  <c r="S29" i="56" s="1"/>
  <c r="P29" i="56"/>
  <c r="U29" i="56" s="1"/>
  <c r="V29" i="56" s="1"/>
  <c r="C29" i="56"/>
  <c r="U28" i="56"/>
  <c r="V28" i="56" s="1"/>
  <c r="T28" i="56"/>
  <c r="P28" i="56"/>
  <c r="C28" i="56"/>
  <c r="T27" i="56"/>
  <c r="T35" i="56" s="1"/>
  <c r="P27" i="56"/>
  <c r="H27" i="56"/>
  <c r="H35" i="56" s="1"/>
  <c r="H92" i="56" s="1"/>
  <c r="C27" i="56"/>
  <c r="R27" i="56" s="1"/>
  <c r="O26" i="56"/>
  <c r="N26" i="56"/>
  <c r="M26" i="56"/>
  <c r="L26" i="56"/>
  <c r="K26" i="56"/>
  <c r="J26" i="56"/>
  <c r="I26" i="56"/>
  <c r="H26" i="56"/>
  <c r="G26" i="56"/>
  <c r="F26" i="56"/>
  <c r="E26" i="56"/>
  <c r="D26" i="56"/>
  <c r="B26" i="56"/>
  <c r="T26" i="56" s="1"/>
  <c r="T25" i="56"/>
  <c r="P25" i="56"/>
  <c r="C25" i="56"/>
  <c r="C26" i="56" s="1"/>
  <c r="O24" i="56"/>
  <c r="N24" i="56"/>
  <c r="M24" i="56"/>
  <c r="L24" i="56"/>
  <c r="L92" i="56" s="1"/>
  <c r="K24" i="56"/>
  <c r="J24" i="56"/>
  <c r="I24" i="56"/>
  <c r="H24" i="56"/>
  <c r="G24" i="56"/>
  <c r="F24" i="56"/>
  <c r="E24" i="56"/>
  <c r="D24" i="56"/>
  <c r="B24" i="56"/>
  <c r="U23" i="56"/>
  <c r="V23" i="56" s="1"/>
  <c r="T23" i="56"/>
  <c r="P23" i="56"/>
  <c r="C23" i="56"/>
  <c r="T22" i="56"/>
  <c r="P22" i="56"/>
  <c r="C22" i="56"/>
  <c r="U21" i="56"/>
  <c r="V21" i="56" s="1"/>
  <c r="T21" i="56"/>
  <c r="Q21" i="56"/>
  <c r="P21" i="56"/>
  <c r="C21" i="56"/>
  <c r="R21" i="56" s="1"/>
  <c r="S21" i="56" s="1"/>
  <c r="V20" i="56"/>
  <c r="T20" i="56"/>
  <c r="R20" i="56"/>
  <c r="S20" i="56" s="1"/>
  <c r="P20" i="56"/>
  <c r="U20" i="56" s="1"/>
  <c r="C20" i="56"/>
  <c r="U19" i="56"/>
  <c r="V19" i="56" s="1"/>
  <c r="T19" i="56"/>
  <c r="P19" i="56"/>
  <c r="C19" i="56"/>
  <c r="W18" i="56"/>
  <c r="U18" i="56"/>
  <c r="T18" i="56"/>
  <c r="R18" i="56"/>
  <c r="P18" i="56"/>
  <c r="O17" i="56"/>
  <c r="N17" i="56"/>
  <c r="M17" i="56"/>
  <c r="L17" i="56"/>
  <c r="K17" i="56"/>
  <c r="J17" i="56"/>
  <c r="I17" i="56"/>
  <c r="H17" i="56"/>
  <c r="F17" i="56"/>
  <c r="W16" i="56"/>
  <c r="T16" i="56"/>
  <c r="P16" i="56"/>
  <c r="W15" i="56"/>
  <c r="T15" i="56"/>
  <c r="R15" i="56"/>
  <c r="E15" i="56"/>
  <c r="P15" i="56" s="1"/>
  <c r="U15" i="56" s="1"/>
  <c r="W14" i="56"/>
  <c r="T14" i="56"/>
  <c r="G14" i="56"/>
  <c r="W13" i="56"/>
  <c r="U13" i="56"/>
  <c r="T13" i="56"/>
  <c r="R13" i="56"/>
  <c r="P13" i="56"/>
  <c r="W12" i="56"/>
  <c r="T12" i="56"/>
  <c r="P12" i="56"/>
  <c r="R12" i="56" s="1"/>
  <c r="C12" i="56"/>
  <c r="W11" i="56"/>
  <c r="T11" i="56"/>
  <c r="P11" i="56"/>
  <c r="U11" i="56" s="1"/>
  <c r="C11" i="56"/>
  <c r="R11" i="56" s="1"/>
  <c r="E10" i="56"/>
  <c r="P10" i="56" s="1"/>
  <c r="R10" i="56" s="1"/>
  <c r="W9" i="56"/>
  <c r="T9" i="56"/>
  <c r="E9" i="56"/>
  <c r="D9" i="56"/>
  <c r="C9" i="56"/>
  <c r="U8" i="56"/>
  <c r="V8" i="56" s="1"/>
  <c r="T8" i="56"/>
  <c r="Q8" i="56"/>
  <c r="P8" i="56"/>
  <c r="C8" i="56"/>
  <c r="R8" i="56" s="1"/>
  <c r="S8" i="56" s="1"/>
  <c r="B8" i="56"/>
  <c r="AA7" i="56"/>
  <c r="AA9" i="56" s="1"/>
  <c r="U7" i="56"/>
  <c r="Q7" i="56"/>
  <c r="P7" i="56"/>
  <c r="C7" i="56"/>
  <c r="R7" i="56" s="1"/>
  <c r="S7" i="56" s="1"/>
  <c r="W7" i="56" s="1"/>
  <c r="B7" i="56"/>
  <c r="T7" i="56" s="1"/>
  <c r="AQ6" i="56"/>
  <c r="AP6" i="56"/>
  <c r="AO6" i="56"/>
  <c r="AN6" i="56"/>
  <c r="AM6" i="56"/>
  <c r="AL6" i="56"/>
  <c r="AK6" i="56"/>
  <c r="AJ6" i="56"/>
  <c r="AI6" i="56"/>
  <c r="AH6" i="56"/>
  <c r="AG6" i="56"/>
  <c r="AF6" i="56"/>
  <c r="U6" i="56"/>
  <c r="V6" i="56" s="1"/>
  <c r="T6" i="56"/>
  <c r="P6" i="56"/>
  <c r="C6" i="56"/>
  <c r="V5" i="56"/>
  <c r="U5" i="56"/>
  <c r="AD4" i="56"/>
  <c r="R6" i="56" l="1"/>
  <c r="Q6" i="56"/>
  <c r="C17" i="56"/>
  <c r="M93" i="56"/>
  <c r="R28" i="56"/>
  <c r="S28" i="56" s="1"/>
  <c r="Q28" i="56"/>
  <c r="E17" i="56"/>
  <c r="N93" i="56"/>
  <c r="W21" i="56"/>
  <c r="R23" i="56"/>
  <c r="S23" i="56" s="1"/>
  <c r="W23" i="56" s="1"/>
  <c r="Q23" i="56"/>
  <c r="E88" i="56"/>
  <c r="E92" i="56"/>
  <c r="I88" i="56"/>
  <c r="I92" i="56"/>
  <c r="M88" i="56"/>
  <c r="M92" i="56"/>
  <c r="R31" i="56"/>
  <c r="S31" i="56" s="1"/>
  <c r="U31" i="56"/>
  <c r="V31" i="56" s="1"/>
  <c r="Q31" i="56"/>
  <c r="R38" i="56"/>
  <c r="S38" i="56" s="1"/>
  <c r="U38" i="56"/>
  <c r="V38" i="56" s="1"/>
  <c r="Q38" i="56"/>
  <c r="W45" i="56"/>
  <c r="V7" i="56"/>
  <c r="W8" i="56"/>
  <c r="G17" i="56"/>
  <c r="P14" i="56"/>
  <c r="U16" i="56"/>
  <c r="R16" i="56"/>
  <c r="R19" i="56"/>
  <c r="S19" i="56" s="1"/>
  <c r="C24" i="56"/>
  <c r="Q19" i="56"/>
  <c r="P35" i="56"/>
  <c r="Q35" i="56" s="1"/>
  <c r="U27" i="56"/>
  <c r="Q27" i="56"/>
  <c r="W34" i="56"/>
  <c r="W41" i="56"/>
  <c r="R43" i="56"/>
  <c r="S43" i="56" s="1"/>
  <c r="Q43" i="56"/>
  <c r="W48" i="56"/>
  <c r="R22" i="56"/>
  <c r="S22" i="56" s="1"/>
  <c r="W22" i="56" s="1"/>
  <c r="U22" i="56"/>
  <c r="V22" i="56" s="1"/>
  <c r="Q22" i="56"/>
  <c r="R39" i="56"/>
  <c r="S39" i="56" s="1"/>
  <c r="W39" i="56" s="1"/>
  <c r="Q39" i="56"/>
  <c r="P24" i="56"/>
  <c r="P26" i="56"/>
  <c r="R25" i="56"/>
  <c r="S25" i="56" s="1"/>
  <c r="U25" i="56"/>
  <c r="V25" i="56" s="1"/>
  <c r="Q25" i="56"/>
  <c r="R32" i="56"/>
  <c r="S32" i="56" s="1"/>
  <c r="Q32" i="56"/>
  <c r="D17" i="56"/>
  <c r="P9" i="56"/>
  <c r="U9" i="56" s="1"/>
  <c r="I93" i="56"/>
  <c r="R35" i="56"/>
  <c r="S35" i="56" s="1"/>
  <c r="W35" i="56" s="1"/>
  <c r="S27" i="56"/>
  <c r="C35" i="56"/>
  <c r="S36" i="56"/>
  <c r="R42" i="56"/>
  <c r="S42" i="56" s="1"/>
  <c r="W42" i="56" s="1"/>
  <c r="U42" i="56"/>
  <c r="V42" i="56" s="1"/>
  <c r="Q42" i="56"/>
  <c r="W50" i="56"/>
  <c r="W57" i="56"/>
  <c r="W65" i="56"/>
  <c r="P87" i="56"/>
  <c r="Q87" i="56" s="1"/>
  <c r="R76" i="56"/>
  <c r="U76" i="56"/>
  <c r="Q76" i="56"/>
  <c r="R80" i="56"/>
  <c r="S80" i="56" s="1"/>
  <c r="W80" i="56" s="1"/>
  <c r="Q80" i="56"/>
  <c r="W81" i="56"/>
  <c r="R85" i="56"/>
  <c r="S85" i="56" s="1"/>
  <c r="U85" i="56"/>
  <c r="V85" i="56" s="1"/>
  <c r="Q85" i="56"/>
  <c r="U12" i="56"/>
  <c r="B17" i="56"/>
  <c r="B88" i="56"/>
  <c r="F88" i="56"/>
  <c r="F92" i="56"/>
  <c r="F93" i="56" s="1"/>
  <c r="J88" i="56"/>
  <c r="J92" i="56"/>
  <c r="J93" i="56" s="1"/>
  <c r="N88" i="56"/>
  <c r="N92" i="56"/>
  <c r="C75" i="56"/>
  <c r="U51" i="56"/>
  <c r="V51" i="56" s="1"/>
  <c r="Q51" i="56"/>
  <c r="W51" i="56" s="1"/>
  <c r="U53" i="56"/>
  <c r="V53" i="56" s="1"/>
  <c r="Q53" i="56"/>
  <c r="U55" i="56"/>
  <c r="V55" i="56" s="1"/>
  <c r="Q55" i="56"/>
  <c r="W55" i="56" s="1"/>
  <c r="U58" i="56"/>
  <c r="V58" i="56" s="1"/>
  <c r="Q58" i="56"/>
  <c r="U62" i="56"/>
  <c r="V62" i="56" s="1"/>
  <c r="Q62" i="56"/>
  <c r="W62" i="56" s="1"/>
  <c r="U64" i="56"/>
  <c r="V64" i="56" s="1"/>
  <c r="Q64" i="56"/>
  <c r="U66" i="56"/>
  <c r="V66" i="56" s="1"/>
  <c r="Q66" i="56"/>
  <c r="W66" i="56" s="1"/>
  <c r="U68" i="56"/>
  <c r="V68" i="56" s="1"/>
  <c r="Q68" i="56"/>
  <c r="D87" i="56"/>
  <c r="D92" i="56" s="1"/>
  <c r="P83" i="56"/>
  <c r="K93" i="56"/>
  <c r="G92" i="56"/>
  <c r="K92" i="56"/>
  <c r="O92" i="56"/>
  <c r="P75" i="56"/>
  <c r="T75" i="56"/>
  <c r="W53" i="56"/>
  <c r="W58" i="56"/>
  <c r="W64" i="56"/>
  <c r="W68" i="56"/>
  <c r="R79" i="56"/>
  <c r="S79" i="56" s="1"/>
  <c r="U79" i="56"/>
  <c r="V79" i="56" s="1"/>
  <c r="Q79" i="56"/>
  <c r="W84" i="56"/>
  <c r="R86" i="56"/>
  <c r="S86" i="56" s="1"/>
  <c r="Q86" i="56"/>
  <c r="G88" i="56"/>
  <c r="O93" i="56"/>
  <c r="H93" i="56"/>
  <c r="L93" i="56"/>
  <c r="Q20" i="56"/>
  <c r="W20" i="56" s="1"/>
  <c r="D88" i="56"/>
  <c r="H88" i="56"/>
  <c r="L88" i="56"/>
  <c r="T24" i="56"/>
  <c r="Q29" i="56"/>
  <c r="W29" i="56" s="1"/>
  <c r="Q33" i="56"/>
  <c r="W33" i="56" s="1"/>
  <c r="Q36" i="56"/>
  <c r="U36" i="56"/>
  <c r="Q40" i="56"/>
  <c r="W40" i="56" s="1"/>
  <c r="Q44" i="56"/>
  <c r="W44" i="56" s="1"/>
  <c r="U46" i="56"/>
  <c r="V46" i="56" s="1"/>
  <c r="Q46" i="56"/>
  <c r="W46" i="56" s="1"/>
  <c r="U48" i="56"/>
  <c r="V48" i="56" s="1"/>
  <c r="Q48" i="56"/>
  <c r="U50" i="56"/>
  <c r="V50" i="56" s="1"/>
  <c r="Q50" i="56"/>
  <c r="Q52" i="56"/>
  <c r="W52" i="56" s="1"/>
  <c r="Q54" i="56"/>
  <c r="W54" i="56" s="1"/>
  <c r="Q56" i="56"/>
  <c r="W56" i="56" s="1"/>
  <c r="Q57" i="56"/>
  <c r="Q59" i="56"/>
  <c r="W59" i="56" s="1"/>
  <c r="Q61" i="56"/>
  <c r="W61" i="56" s="1"/>
  <c r="Q63" i="56"/>
  <c r="W63" i="56" s="1"/>
  <c r="Q65" i="56"/>
  <c r="Q67" i="56"/>
  <c r="W67" i="56" s="1"/>
  <c r="U69" i="56"/>
  <c r="V69" i="56" s="1"/>
  <c r="Q69" i="56"/>
  <c r="W69" i="56" s="1"/>
  <c r="U71" i="56"/>
  <c r="V71" i="56" s="1"/>
  <c r="Q71" i="56"/>
  <c r="W71" i="56" s="1"/>
  <c r="U73" i="56"/>
  <c r="V73" i="56" s="1"/>
  <c r="Q73" i="56"/>
  <c r="W73" i="56" s="1"/>
  <c r="R74" i="56"/>
  <c r="S74" i="56" s="1"/>
  <c r="Q74" i="56"/>
  <c r="W82" i="56"/>
  <c r="K88" i="56"/>
  <c r="R78" i="56"/>
  <c r="S78" i="56" s="1"/>
  <c r="W78" i="56" s="1"/>
  <c r="Q77" i="56"/>
  <c r="W77" i="56" s="1"/>
  <c r="Q81" i="56"/>
  <c r="D56" i="46"/>
  <c r="E56" i="46" s="1"/>
  <c r="D55" i="46"/>
  <c r="E55" i="46" s="1"/>
  <c r="E54" i="46"/>
  <c r="D54" i="46"/>
  <c r="D53" i="46"/>
  <c r="E53" i="46" s="1"/>
  <c r="D52" i="46"/>
  <c r="E52" i="46" s="1"/>
  <c r="D51" i="46"/>
  <c r="E51" i="46" s="1"/>
  <c r="D50" i="46"/>
  <c r="E50" i="46" s="1"/>
  <c r="A53" i="46"/>
  <c r="B40" i="46"/>
  <c r="B34" i="46"/>
  <c r="B16" i="46"/>
  <c r="B15" i="46"/>
  <c r="C52" i="46"/>
  <c r="C48" i="46"/>
  <c r="C44" i="46"/>
  <c r="C42" i="46"/>
  <c r="C40" i="46"/>
  <c r="C39" i="46"/>
  <c r="C38" i="46"/>
  <c r="C28" i="46" s="1"/>
  <c r="C46" i="46" s="1"/>
  <c r="C34" i="46"/>
  <c r="C23" i="46"/>
  <c r="C19" i="46"/>
  <c r="C16" i="46"/>
  <c r="C12" i="46" s="1"/>
  <c r="C25" i="46" s="1"/>
  <c r="C15" i="46"/>
  <c r="C8" i="46"/>
  <c r="E56" i="55"/>
  <c r="D56" i="55"/>
  <c r="A56" i="55"/>
  <c r="D55" i="55"/>
  <c r="E55" i="55" s="1"/>
  <c r="D53" i="55"/>
  <c r="E53" i="55" s="1"/>
  <c r="A53" i="55"/>
  <c r="D52" i="55"/>
  <c r="E52" i="55" s="1"/>
  <c r="A52" i="55"/>
  <c r="E51" i="55"/>
  <c r="D51" i="55"/>
  <c r="D50" i="55"/>
  <c r="E50" i="55" s="1"/>
  <c r="A50" i="55"/>
  <c r="D49" i="55"/>
  <c r="E49" i="55" s="1"/>
  <c r="G48" i="55"/>
  <c r="G57" i="55" s="1"/>
  <c r="F48" i="55"/>
  <c r="F57" i="55" s="1"/>
  <c r="C48" i="55"/>
  <c r="E45" i="55"/>
  <c r="D45" i="55"/>
  <c r="G44" i="55"/>
  <c r="F44" i="55"/>
  <c r="E44" i="55"/>
  <c r="D44" i="55"/>
  <c r="C44" i="55"/>
  <c r="B44" i="55"/>
  <c r="E43" i="55"/>
  <c r="D43" i="55"/>
  <c r="C42" i="55"/>
  <c r="E42" i="55" s="1"/>
  <c r="B42" i="55"/>
  <c r="D41" i="55"/>
  <c r="E41" i="55" s="1"/>
  <c r="B40" i="55"/>
  <c r="D40" i="55" s="1"/>
  <c r="E40" i="55" s="1"/>
  <c r="D39" i="55"/>
  <c r="E39" i="55" s="1"/>
  <c r="B39" i="55"/>
  <c r="B38" i="55"/>
  <c r="D38" i="55" s="1"/>
  <c r="E38" i="55" s="1"/>
  <c r="A38" i="55"/>
  <c r="E37" i="55"/>
  <c r="D37" i="55"/>
  <c r="E36" i="55"/>
  <c r="D36" i="55"/>
  <c r="E35" i="55"/>
  <c r="D35" i="55"/>
  <c r="B34" i="55"/>
  <c r="D34" i="55" s="1"/>
  <c r="E34" i="55" s="1"/>
  <c r="E33" i="55"/>
  <c r="D33" i="55"/>
  <c r="D32" i="55"/>
  <c r="E32" i="55" s="1"/>
  <c r="A32" i="55"/>
  <c r="E31" i="55"/>
  <c r="D31" i="55"/>
  <c r="E30" i="55"/>
  <c r="D30" i="55"/>
  <c r="E29" i="55"/>
  <c r="D29" i="55"/>
  <c r="G28" i="55"/>
  <c r="G46" i="55" s="1"/>
  <c r="F28" i="55"/>
  <c r="F46" i="55" s="1"/>
  <c r="C28" i="55"/>
  <c r="C46" i="55" s="1"/>
  <c r="E24" i="55"/>
  <c r="D24" i="55"/>
  <c r="G23" i="55"/>
  <c r="F23" i="55"/>
  <c r="E23" i="55"/>
  <c r="D23" i="55"/>
  <c r="C23" i="55"/>
  <c r="B23" i="55"/>
  <c r="E22" i="55"/>
  <c r="D22" i="55"/>
  <c r="E21" i="55"/>
  <c r="D21" i="55"/>
  <c r="E20" i="55"/>
  <c r="D20" i="55"/>
  <c r="G19" i="55"/>
  <c r="F19" i="55"/>
  <c r="E19" i="55"/>
  <c r="D19" i="55"/>
  <c r="C19" i="55"/>
  <c r="B19" i="55"/>
  <c r="E18" i="55"/>
  <c r="D18" i="55"/>
  <c r="D17" i="55"/>
  <c r="E17" i="55" s="1"/>
  <c r="K16" i="55"/>
  <c r="J16" i="55"/>
  <c r="G16" i="55"/>
  <c r="F16" i="55"/>
  <c r="C16" i="55"/>
  <c r="D16" i="55" s="1"/>
  <c r="E16" i="55" s="1"/>
  <c r="B16" i="55"/>
  <c r="J15" i="55"/>
  <c r="K15" i="55" s="1"/>
  <c r="L15" i="55" s="1"/>
  <c r="F15" i="55"/>
  <c r="C15" i="55"/>
  <c r="D15" i="55" s="1"/>
  <c r="E15" i="55" s="1"/>
  <c r="B15" i="55"/>
  <c r="J14" i="55"/>
  <c r="D14" i="55"/>
  <c r="E14" i="55" s="1"/>
  <c r="J13" i="55"/>
  <c r="K13" i="55" s="1"/>
  <c r="E13" i="55"/>
  <c r="D13" i="55"/>
  <c r="G12" i="55"/>
  <c r="F12" i="55"/>
  <c r="E12" i="55"/>
  <c r="C12" i="55"/>
  <c r="B12" i="55"/>
  <c r="E11" i="55"/>
  <c r="D11" i="55"/>
  <c r="E10" i="55"/>
  <c r="D10" i="55"/>
  <c r="E9" i="55"/>
  <c r="D9" i="55"/>
  <c r="G8" i="55"/>
  <c r="G25" i="55" s="1"/>
  <c r="F8" i="55"/>
  <c r="F25" i="55" s="1"/>
  <c r="E8" i="55"/>
  <c r="D8" i="55"/>
  <c r="C8" i="55"/>
  <c r="C25" i="55" s="1"/>
  <c r="B8" i="55"/>
  <c r="B25" i="55" s="1"/>
  <c r="L404" i="47"/>
  <c r="J17" i="55" l="1"/>
  <c r="L16" i="55"/>
  <c r="V76" i="56"/>
  <c r="P88" i="56"/>
  <c r="P92" i="56"/>
  <c r="Q24" i="56"/>
  <c r="U24" i="56"/>
  <c r="V24" i="56" s="1"/>
  <c r="W74" i="56"/>
  <c r="U75" i="56"/>
  <c r="V75" i="56" s="1"/>
  <c r="V36" i="56"/>
  <c r="Q75" i="56"/>
  <c r="S76" i="56"/>
  <c r="W76" i="56" s="1"/>
  <c r="W36" i="56"/>
  <c r="W27" i="56"/>
  <c r="D93" i="56"/>
  <c r="W43" i="56"/>
  <c r="U35" i="56"/>
  <c r="V35" i="56" s="1"/>
  <c r="V27" i="56"/>
  <c r="C88" i="56"/>
  <c r="R24" i="56"/>
  <c r="W28" i="56"/>
  <c r="S6" i="56"/>
  <c r="W6" i="56" s="1"/>
  <c r="R75" i="56"/>
  <c r="S75" i="56" s="1"/>
  <c r="W25" i="56"/>
  <c r="W19" i="56"/>
  <c r="R14" i="56"/>
  <c r="R17" i="56" s="1"/>
  <c r="S17" i="56" s="1"/>
  <c r="U14" i="56"/>
  <c r="W31" i="56"/>
  <c r="E93" i="56"/>
  <c r="AG7" i="56"/>
  <c r="R9" i="56"/>
  <c r="B89" i="56"/>
  <c r="T88" i="56"/>
  <c r="W86" i="56"/>
  <c r="W79" i="56"/>
  <c r="U83" i="56"/>
  <c r="V83" i="56" s="1"/>
  <c r="Q83" i="56"/>
  <c r="R83" i="56"/>
  <c r="S83" i="56" s="1"/>
  <c r="W83" i="56" s="1"/>
  <c r="T17" i="56"/>
  <c r="W85" i="56"/>
  <c r="W32" i="56"/>
  <c r="U26" i="56"/>
  <c r="V26" i="56" s="1"/>
  <c r="Q26" i="56"/>
  <c r="G93" i="56"/>
  <c r="W38" i="56"/>
  <c r="P17" i="56"/>
  <c r="R26" i="56"/>
  <c r="S26" i="56" s="1"/>
  <c r="C57" i="46"/>
  <c r="C58" i="46" s="1"/>
  <c r="J7" i="55"/>
  <c r="E25" i="55"/>
  <c r="C57" i="55"/>
  <c r="C58" i="55" s="1"/>
  <c r="D12" i="55"/>
  <c r="D25" i="55" s="1"/>
  <c r="L13" i="55"/>
  <c r="K14" i="55"/>
  <c r="L14" i="55" s="1"/>
  <c r="B28" i="55"/>
  <c r="D42" i="55"/>
  <c r="D48" i="55"/>
  <c r="B48" i="55"/>
  <c r="D15" i="26"/>
  <c r="F23" i="26"/>
  <c r="F39" i="26" s="1"/>
  <c r="F20" i="26"/>
  <c r="A18" i="26"/>
  <c r="E15" i="26"/>
  <c r="K17" i="55" l="1"/>
  <c r="L17" i="55" s="1"/>
  <c r="R87" i="56"/>
  <c r="S87" i="56" s="1"/>
  <c r="W87" i="56" s="1"/>
  <c r="U92" i="56"/>
  <c r="W26" i="56"/>
  <c r="U88" i="56"/>
  <c r="V88" i="56" s="1"/>
  <c r="Q88" i="56"/>
  <c r="T89" i="56"/>
  <c r="V89" i="56" s="1"/>
  <c r="C89" i="56"/>
  <c r="B91" i="56"/>
  <c r="U87" i="56"/>
  <c r="V87" i="56" s="1"/>
  <c r="P93" i="56"/>
  <c r="U93" i="56" s="1"/>
  <c r="U17" i="56"/>
  <c r="V17" i="56" s="1"/>
  <c r="Q17" i="56"/>
  <c r="W17" i="56" s="1"/>
  <c r="W75" i="56"/>
  <c r="R88" i="56"/>
  <c r="S88" i="56" s="1"/>
  <c r="S24" i="56"/>
  <c r="W24" i="56" s="1"/>
  <c r="E28" i="55"/>
  <c r="D28" i="55"/>
  <c r="D46" i="55" s="1"/>
  <c r="E46" i="55" s="1"/>
  <c r="B46" i="55"/>
  <c r="E48" i="55"/>
  <c r="B57" i="55"/>
  <c r="D57" i="55"/>
  <c r="E16" i="26"/>
  <c r="K88" i="47"/>
  <c r="W88" i="56" l="1"/>
  <c r="T91" i="56"/>
  <c r="V91" i="56" s="1"/>
  <c r="B92" i="56"/>
  <c r="C91" i="56"/>
  <c r="R89" i="56"/>
  <c r="S89" i="56" s="1"/>
  <c r="Q89" i="56"/>
  <c r="E57" i="55"/>
  <c r="B58" i="55"/>
  <c r="H27" i="45"/>
  <c r="U99" i="47"/>
  <c r="U95" i="47"/>
  <c r="K177" i="47"/>
  <c r="U100" i="47" s="1"/>
  <c r="K174" i="47"/>
  <c r="U97" i="47" s="1"/>
  <c r="L97" i="47"/>
  <c r="L100" i="47"/>
  <c r="T92" i="56" l="1"/>
  <c r="V92" i="56" s="1"/>
  <c r="B93" i="56"/>
  <c r="W89" i="56"/>
  <c r="R91" i="56"/>
  <c r="S91" i="56" s="1"/>
  <c r="W91" i="56" s="1"/>
  <c r="Q91" i="56"/>
  <c r="C92" i="56"/>
  <c r="R92" i="56" l="1"/>
  <c r="S92" i="56" s="1"/>
  <c r="C93" i="56"/>
  <c r="Q92" i="56"/>
  <c r="O70" i="19"/>
  <c r="O65" i="19"/>
  <c r="O64" i="19"/>
  <c r="O63" i="19"/>
  <c r="G16" i="19"/>
  <c r="AA7" i="45"/>
  <c r="AA9" i="45" s="1"/>
  <c r="G15" i="19"/>
  <c r="F15" i="19"/>
  <c r="G66" i="19"/>
  <c r="G61" i="19"/>
  <c r="G59" i="19"/>
  <c r="G58" i="19"/>
  <c r="G57" i="19"/>
  <c r="G56" i="19"/>
  <c r="G55" i="19"/>
  <c r="G54" i="19"/>
  <c r="G53" i="19"/>
  <c r="G52" i="19"/>
  <c r="G51" i="19"/>
  <c r="G50" i="19"/>
  <c r="G49" i="19"/>
  <c r="G48" i="19"/>
  <c r="G47" i="19"/>
  <c r="G44" i="19"/>
  <c r="G43" i="19"/>
  <c r="G42" i="19"/>
  <c r="G41" i="19"/>
  <c r="G40" i="19"/>
  <c r="G39" i="19"/>
  <c r="G38" i="19"/>
  <c r="G37" i="19"/>
  <c r="G36" i="19"/>
  <c r="U16" i="19"/>
  <c r="G18" i="19"/>
  <c r="G10" i="19"/>
  <c r="G9" i="19"/>
  <c r="G8" i="19"/>
  <c r="J143" i="47"/>
  <c r="I143" i="47"/>
  <c r="H143" i="47"/>
  <c r="F143" i="47"/>
  <c r="E143" i="47"/>
  <c r="D143" i="47"/>
  <c r="K133" i="47"/>
  <c r="K132" i="47"/>
  <c r="K131" i="47"/>
  <c r="K130" i="47"/>
  <c r="K129" i="47"/>
  <c r="K128" i="47"/>
  <c r="K127" i="47"/>
  <c r="K126" i="47"/>
  <c r="K125" i="47"/>
  <c r="K124" i="47"/>
  <c r="K123" i="47"/>
  <c r="K122" i="47"/>
  <c r="K121" i="47"/>
  <c r="K120" i="47"/>
  <c r="K119" i="47"/>
  <c r="K118" i="47"/>
  <c r="K117" i="47"/>
  <c r="K116" i="47"/>
  <c r="K115" i="47"/>
  <c r="K114" i="47"/>
  <c r="K113" i="47"/>
  <c r="K112" i="47"/>
  <c r="K111" i="47"/>
  <c r="K110" i="47"/>
  <c r="K109" i="47"/>
  <c r="G109" i="47"/>
  <c r="K108" i="47"/>
  <c r="K107" i="47"/>
  <c r="K106" i="47"/>
  <c r="K105" i="47"/>
  <c r="K104" i="47"/>
  <c r="K103" i="47"/>
  <c r="K102" i="47"/>
  <c r="K101" i="47"/>
  <c r="K100" i="47"/>
  <c r="K99" i="47"/>
  <c r="K98" i="47"/>
  <c r="K97" i="47"/>
  <c r="K96" i="47"/>
  <c r="K95" i="47"/>
  <c r="K94" i="47"/>
  <c r="K93" i="47"/>
  <c r="K92" i="47"/>
  <c r="K91" i="47"/>
  <c r="K90" i="47"/>
  <c r="K89" i="47"/>
  <c r="G88" i="47"/>
  <c r="W92" i="56" l="1"/>
  <c r="G143" i="47"/>
  <c r="D145" i="47" s="1"/>
  <c r="D147" i="47" s="1"/>
  <c r="L101" i="47"/>
  <c r="L96" i="47"/>
  <c r="F71" i="26" l="1"/>
  <c r="F68" i="26"/>
  <c r="F89" i="26" s="1"/>
  <c r="A66" i="26"/>
  <c r="E63" i="26"/>
  <c r="D63" i="26"/>
  <c r="E61" i="26"/>
  <c r="E53" i="26"/>
  <c r="E64" i="26" l="1"/>
  <c r="E56" i="54"/>
  <c r="D56" i="54"/>
  <c r="A56" i="54"/>
  <c r="D55" i="54"/>
  <c r="E55" i="54" s="1"/>
  <c r="D53" i="54"/>
  <c r="E53" i="54" s="1"/>
  <c r="A53" i="54"/>
  <c r="E52" i="54"/>
  <c r="D52" i="54"/>
  <c r="A52" i="54"/>
  <c r="E51" i="54"/>
  <c r="D51" i="54"/>
  <c r="H50" i="54"/>
  <c r="D50" i="54"/>
  <c r="E50" i="54" s="1"/>
  <c r="A50" i="54"/>
  <c r="H49" i="54"/>
  <c r="D49" i="54"/>
  <c r="E49" i="54" s="1"/>
  <c r="G48" i="54"/>
  <c r="F48" i="54"/>
  <c r="D48" i="54"/>
  <c r="C48" i="54"/>
  <c r="B48" i="54"/>
  <c r="E45" i="54"/>
  <c r="D45" i="54"/>
  <c r="G44" i="54"/>
  <c r="F44" i="54"/>
  <c r="F46" i="54" s="1"/>
  <c r="F57" i="54" s="1"/>
  <c r="D44" i="54"/>
  <c r="C44" i="54"/>
  <c r="B44" i="54"/>
  <c r="E44" i="54" s="1"/>
  <c r="E43" i="54"/>
  <c r="D43" i="54"/>
  <c r="E42" i="54"/>
  <c r="D42" i="54"/>
  <c r="C42" i="54"/>
  <c r="B42" i="54"/>
  <c r="D41" i="54"/>
  <c r="E41" i="54" s="1"/>
  <c r="E40" i="54"/>
  <c r="D40" i="54"/>
  <c r="E39" i="54"/>
  <c r="D39" i="54"/>
  <c r="E38" i="54"/>
  <c r="D38" i="54"/>
  <c r="A38" i="54"/>
  <c r="E37" i="54"/>
  <c r="D37" i="54"/>
  <c r="D36" i="54"/>
  <c r="E36" i="54" s="1"/>
  <c r="E35" i="54"/>
  <c r="D35" i="54"/>
  <c r="C34" i="54"/>
  <c r="D34" i="54" s="1"/>
  <c r="E33" i="54"/>
  <c r="D33" i="54"/>
  <c r="D32" i="54"/>
  <c r="E32" i="54" s="1"/>
  <c r="A32" i="54"/>
  <c r="D31" i="54"/>
  <c r="E31" i="54" s="1"/>
  <c r="E30" i="54"/>
  <c r="D30" i="54"/>
  <c r="D29" i="54"/>
  <c r="E29" i="54" s="1"/>
  <c r="G28" i="54"/>
  <c r="G46" i="54" s="1"/>
  <c r="F28" i="54"/>
  <c r="C28" i="54"/>
  <c r="D28" i="54" s="1"/>
  <c r="D46" i="54" s="1"/>
  <c r="B28" i="54"/>
  <c r="E28" i="54" s="1"/>
  <c r="E24" i="54"/>
  <c r="D24" i="54"/>
  <c r="G23" i="54"/>
  <c r="F23" i="54"/>
  <c r="E23" i="54"/>
  <c r="D23" i="54"/>
  <c r="C23" i="54"/>
  <c r="B23" i="54"/>
  <c r="E22" i="54"/>
  <c r="D22" i="54"/>
  <c r="E21" i="54"/>
  <c r="D21" i="54"/>
  <c r="D19" i="54" s="1"/>
  <c r="E20" i="54"/>
  <c r="D20" i="54"/>
  <c r="G19" i="54"/>
  <c r="F19" i="54"/>
  <c r="E19" i="54"/>
  <c r="C19" i="54"/>
  <c r="B19" i="54"/>
  <c r="E18" i="54"/>
  <c r="D18" i="54"/>
  <c r="D17" i="54"/>
  <c r="E17" i="54" s="1"/>
  <c r="J16" i="54"/>
  <c r="K16" i="54" s="1"/>
  <c r="L16" i="54" s="1"/>
  <c r="G16" i="54"/>
  <c r="F16" i="54"/>
  <c r="C16" i="54"/>
  <c r="B16" i="54"/>
  <c r="D16" i="54" s="1"/>
  <c r="E16" i="54" s="1"/>
  <c r="J15" i="54"/>
  <c r="F15" i="54"/>
  <c r="C15" i="54"/>
  <c r="B15" i="54"/>
  <c r="J14" i="54"/>
  <c r="K14" i="54" s="1"/>
  <c r="L14" i="54" s="1"/>
  <c r="D14" i="54"/>
  <c r="J13" i="54"/>
  <c r="E13" i="54"/>
  <c r="D13" i="54"/>
  <c r="G12" i="54"/>
  <c r="F12" i="54"/>
  <c r="E12" i="54"/>
  <c r="C12" i="54"/>
  <c r="B12" i="54"/>
  <c r="E11" i="54"/>
  <c r="D11" i="54"/>
  <c r="C10" i="54"/>
  <c r="D9" i="54"/>
  <c r="E9" i="54" s="1"/>
  <c r="G8" i="54"/>
  <c r="G25" i="54" s="1"/>
  <c r="F8" i="54"/>
  <c r="F25" i="54" s="1"/>
  <c r="B8" i="54"/>
  <c r="E48" i="54" l="1"/>
  <c r="J17" i="54"/>
  <c r="K15" i="54"/>
  <c r="L15" i="54" s="1"/>
  <c r="G57" i="54"/>
  <c r="E46" i="54"/>
  <c r="D57" i="54"/>
  <c r="B46" i="54"/>
  <c r="B57" i="54" s="1"/>
  <c r="C46" i="54"/>
  <c r="C57" i="54" s="1"/>
  <c r="E34" i="54"/>
  <c r="C8" i="54"/>
  <c r="C25" i="54" s="1"/>
  <c r="D10" i="54"/>
  <c r="D8" i="54" s="1"/>
  <c r="E14" i="54"/>
  <c r="B25" i="54"/>
  <c r="K13" i="54"/>
  <c r="D15" i="54"/>
  <c r="E15" i="54" s="1"/>
  <c r="B82" i="45"/>
  <c r="K17" i="54" l="1"/>
  <c r="L17" i="54" s="1"/>
  <c r="D12" i="54"/>
  <c r="E57" i="54"/>
  <c r="L13" i="54"/>
  <c r="J7" i="54"/>
  <c r="E25" i="54"/>
  <c r="B58" i="54"/>
  <c r="D25" i="54"/>
  <c r="C58" i="54"/>
  <c r="E8" i="54"/>
  <c r="E10" i="54"/>
  <c r="D37" i="46"/>
  <c r="E37" i="46" s="1"/>
  <c r="D35" i="46"/>
  <c r="E35" i="46" s="1"/>
  <c r="N88" i="19" l="1"/>
  <c r="M88" i="19"/>
  <c r="L88" i="19"/>
  <c r="K88" i="19"/>
  <c r="J88" i="19"/>
  <c r="I88" i="19"/>
  <c r="H88" i="19"/>
  <c r="G88" i="19"/>
  <c r="F88" i="19"/>
  <c r="E88" i="19"/>
  <c r="D88" i="19"/>
  <c r="C88" i="19"/>
  <c r="L240" i="47" l="1"/>
  <c r="L241" i="47" s="1"/>
  <c r="L242" i="47" s="1"/>
  <c r="L243" i="47" s="1"/>
  <c r="L244" i="47" s="1"/>
  <c r="L245" i="47" s="1"/>
  <c r="L246" i="47" s="1"/>
  <c r="L247" i="47" s="1"/>
  <c r="L248" i="47" s="1"/>
  <c r="L249" i="47" s="1"/>
  <c r="L250" i="47" s="1"/>
  <c r="K250" i="47"/>
  <c r="M178" i="47"/>
  <c r="Q17" i="19" l="1"/>
  <c r="H166" i="47" l="1"/>
  <c r="G124" i="19"/>
  <c r="H124" i="19"/>
  <c r="I124" i="19"/>
  <c r="J124" i="19"/>
  <c r="K124" i="19"/>
  <c r="L124" i="19"/>
  <c r="M124" i="19"/>
  <c r="N124" i="19"/>
  <c r="O172" i="19"/>
  <c r="D15" i="19"/>
  <c r="F23" i="19"/>
  <c r="O183" i="19"/>
  <c r="B180" i="19"/>
  <c r="G14" i="45" l="1"/>
  <c r="B19" i="46"/>
  <c r="D21" i="46"/>
  <c r="E21" i="46" s="1"/>
  <c r="F175" i="19" l="1"/>
  <c r="F66" i="19"/>
  <c r="F61" i="19"/>
  <c r="F59" i="19"/>
  <c r="F58" i="19"/>
  <c r="F57" i="19"/>
  <c r="F56" i="19"/>
  <c r="F55" i="19"/>
  <c r="F54" i="19"/>
  <c r="F53" i="19"/>
  <c r="F52" i="19"/>
  <c r="F51" i="19"/>
  <c r="F50" i="19"/>
  <c r="F49" i="19"/>
  <c r="F48" i="19"/>
  <c r="F47" i="19"/>
  <c r="F44" i="19"/>
  <c r="F43" i="19"/>
  <c r="F42" i="19"/>
  <c r="F41" i="19"/>
  <c r="F40" i="19"/>
  <c r="F39" i="19"/>
  <c r="F38" i="19"/>
  <c r="F37" i="19"/>
  <c r="F36" i="19"/>
  <c r="F35" i="19"/>
  <c r="G80" i="45"/>
  <c r="AD4" i="45"/>
  <c r="D56" i="53"/>
  <c r="E56" i="53" s="1"/>
  <c r="A56" i="53"/>
  <c r="D55" i="53"/>
  <c r="E55" i="53" s="1"/>
  <c r="D53" i="53"/>
  <c r="E53" i="53" s="1"/>
  <c r="A53" i="53"/>
  <c r="E52" i="53"/>
  <c r="D52" i="53"/>
  <c r="A52" i="53"/>
  <c r="D51" i="53"/>
  <c r="E51" i="53" s="1"/>
  <c r="D50" i="53"/>
  <c r="E50" i="53" s="1"/>
  <c r="A50" i="53"/>
  <c r="D49" i="53"/>
  <c r="E49" i="53" s="1"/>
  <c r="G48" i="53"/>
  <c r="F48" i="53"/>
  <c r="F57" i="53" s="1"/>
  <c r="C48" i="53"/>
  <c r="B48" i="53"/>
  <c r="E45" i="53"/>
  <c r="D45" i="53"/>
  <c r="G44" i="53"/>
  <c r="G46" i="53" s="1"/>
  <c r="F44" i="53"/>
  <c r="D44" i="53"/>
  <c r="C44" i="53"/>
  <c r="E44" i="53" s="1"/>
  <c r="B44" i="53"/>
  <c r="E43" i="53"/>
  <c r="D43" i="53"/>
  <c r="E42" i="53"/>
  <c r="C42" i="53"/>
  <c r="D42" i="53" s="1"/>
  <c r="B42" i="53"/>
  <c r="E41" i="53"/>
  <c r="D41" i="53"/>
  <c r="E40" i="53"/>
  <c r="D40" i="53"/>
  <c r="C39" i="53"/>
  <c r="D39" i="53" s="1"/>
  <c r="E39" i="53" s="1"/>
  <c r="E38" i="53"/>
  <c r="D38" i="53"/>
  <c r="C37" i="53"/>
  <c r="A37" i="53"/>
  <c r="D35" i="53"/>
  <c r="E35" i="53" s="1"/>
  <c r="D33" i="53"/>
  <c r="E33" i="53" s="1"/>
  <c r="C33" i="53"/>
  <c r="B33" i="53"/>
  <c r="D32" i="53"/>
  <c r="E32" i="53" s="1"/>
  <c r="D31" i="53"/>
  <c r="E31" i="53" s="1"/>
  <c r="A31" i="53"/>
  <c r="E30" i="53"/>
  <c r="D30" i="53"/>
  <c r="D29" i="53"/>
  <c r="E29" i="53" s="1"/>
  <c r="E28" i="53"/>
  <c r="D28" i="53"/>
  <c r="G27" i="53"/>
  <c r="F27" i="53"/>
  <c r="F46" i="53" s="1"/>
  <c r="B27" i="53"/>
  <c r="B46" i="53" s="1"/>
  <c r="D23" i="53"/>
  <c r="E23" i="53" s="1"/>
  <c r="G22" i="53"/>
  <c r="G24" i="53" s="1"/>
  <c r="F22" i="53"/>
  <c r="D22" i="53"/>
  <c r="C22" i="53"/>
  <c r="E22" i="53" s="1"/>
  <c r="B22" i="53"/>
  <c r="D21" i="53"/>
  <c r="E21" i="53" s="1"/>
  <c r="E20" i="53"/>
  <c r="D20" i="53"/>
  <c r="G19" i="53"/>
  <c r="F19" i="53"/>
  <c r="E19" i="53"/>
  <c r="C19" i="53"/>
  <c r="B19" i="53"/>
  <c r="D19" i="53" s="1"/>
  <c r="E18" i="53"/>
  <c r="D18" i="53"/>
  <c r="E17" i="53"/>
  <c r="D17" i="53"/>
  <c r="J16" i="53"/>
  <c r="G16" i="53"/>
  <c r="F16" i="53"/>
  <c r="E16" i="53"/>
  <c r="D16" i="53"/>
  <c r="C16" i="53"/>
  <c r="B16" i="53"/>
  <c r="J15" i="53"/>
  <c r="K15" i="53" s="1"/>
  <c r="L15" i="53" s="1"/>
  <c r="F15" i="53"/>
  <c r="E15" i="53"/>
  <c r="D15" i="53"/>
  <c r="C15" i="53"/>
  <c r="B15" i="53"/>
  <c r="J14" i="53"/>
  <c r="K14" i="53" s="1"/>
  <c r="L14" i="53" s="1"/>
  <c r="D14" i="53"/>
  <c r="D12" i="53" s="1"/>
  <c r="J13" i="53"/>
  <c r="K13" i="53" s="1"/>
  <c r="E13" i="53"/>
  <c r="D13" i="53"/>
  <c r="G12" i="53"/>
  <c r="F12" i="53"/>
  <c r="E12" i="53"/>
  <c r="C12" i="53"/>
  <c r="B12" i="53"/>
  <c r="E11" i="53"/>
  <c r="D11" i="53"/>
  <c r="B10" i="53"/>
  <c r="D10" i="53" s="1"/>
  <c r="E9" i="53"/>
  <c r="D9" i="53"/>
  <c r="G8" i="53"/>
  <c r="F8" i="53"/>
  <c r="F24" i="53" s="1"/>
  <c r="C8" i="53"/>
  <c r="B8" i="53"/>
  <c r="B24" i="53" s="1"/>
  <c r="D114" i="26"/>
  <c r="F122" i="26"/>
  <c r="F119" i="26"/>
  <c r="A117" i="26"/>
  <c r="E114" i="26"/>
  <c r="E115" i="26" s="1"/>
  <c r="E112" i="26"/>
  <c r="E104" i="26"/>
  <c r="E48" i="53" l="1"/>
  <c r="F133" i="26"/>
  <c r="J17" i="53"/>
  <c r="K16" i="53"/>
  <c r="L16" i="53" s="1"/>
  <c r="L13" i="53"/>
  <c r="B57" i="53"/>
  <c r="G57" i="53"/>
  <c r="E10" i="53"/>
  <c r="D8" i="53"/>
  <c r="D24" i="53" s="1"/>
  <c r="E14" i="53"/>
  <c r="C24" i="53"/>
  <c r="E24" i="53" s="1"/>
  <c r="C27" i="53"/>
  <c r="D37" i="53"/>
  <c r="E37" i="53" s="1"/>
  <c r="E8" i="53"/>
  <c r="D48" i="53"/>
  <c r="P172" i="19"/>
  <c r="K17" i="53" l="1"/>
  <c r="L17" i="53" s="1"/>
  <c r="C46" i="53"/>
  <c r="C57" i="53" s="1"/>
  <c r="E57" i="53" s="1"/>
  <c r="E27" i="53"/>
  <c r="D27" i="53"/>
  <c r="D46" i="53" s="1"/>
  <c r="B58" i="53"/>
  <c r="F19" i="19"/>
  <c r="F17" i="19"/>
  <c r="F10" i="19"/>
  <c r="F9" i="19"/>
  <c r="F8" i="19"/>
  <c r="C58" i="53" l="1"/>
  <c r="E46" i="53"/>
  <c r="D57" i="53"/>
  <c r="J211" i="47"/>
  <c r="F211" i="47"/>
  <c r="E211" i="47"/>
  <c r="D211" i="47"/>
  <c r="G183" i="47"/>
  <c r="H167" i="47"/>
  <c r="I166" i="47"/>
  <c r="I165" i="47"/>
  <c r="I211" i="47" s="1"/>
  <c r="H165" i="47"/>
  <c r="G165" i="47"/>
  <c r="H211" i="47" l="1"/>
  <c r="G211" i="47"/>
  <c r="K173" i="47"/>
  <c r="U96" i="47" s="1"/>
  <c r="K178" i="47"/>
  <c r="U101" i="47" s="1"/>
  <c r="M179" i="47"/>
  <c r="J9" i="52"/>
  <c r="L331" i="47"/>
  <c r="M251" i="47"/>
  <c r="L252" i="47"/>
  <c r="L253" i="47" s="1"/>
  <c r="L254" i="47" s="1"/>
  <c r="L255" i="47" s="1"/>
  <c r="L256" i="47" s="1"/>
  <c r="L257" i="47" s="1"/>
  <c r="L258" i="47" s="1"/>
  <c r="L259" i="47" s="1"/>
  <c r="L260" i="47" s="1"/>
  <c r="L261" i="47" s="1"/>
  <c r="L262" i="47" s="1"/>
  <c r="L263" i="47" s="1"/>
  <c r="L264" i="47" s="1"/>
  <c r="L265" i="47" s="1"/>
  <c r="L266" i="47" s="1"/>
  <c r="L267" i="47" s="1"/>
  <c r="L268" i="47" s="1"/>
  <c r="L269" i="47" s="1"/>
  <c r="L270" i="47" s="1"/>
  <c r="L271" i="47" s="1"/>
  <c r="L272" i="47" s="1"/>
  <c r="L273" i="47" s="1"/>
  <c r="L274" i="47" s="1"/>
  <c r="L275" i="47" s="1"/>
  <c r="L276" i="47" s="1"/>
  <c r="L277" i="47" s="1"/>
  <c r="L278" i="47" s="1"/>
  <c r="L279" i="47" s="1"/>
  <c r="L280" i="47" s="1"/>
  <c r="L281" i="47" s="1"/>
  <c r="L282" i="47" s="1"/>
  <c r="K332" i="47"/>
  <c r="K333" i="47" s="1"/>
  <c r="K334" i="47" s="1"/>
  <c r="K335" i="47" s="1"/>
  <c r="K336" i="47" s="1"/>
  <c r="K337" i="47" s="1"/>
  <c r="K338" i="47" s="1"/>
  <c r="K339" i="47" s="1"/>
  <c r="K340" i="47" s="1"/>
  <c r="K341" i="47" s="1"/>
  <c r="K342" i="47" s="1"/>
  <c r="K343" i="47" s="1"/>
  <c r="K344" i="47" s="1"/>
  <c r="K345" i="47" s="1"/>
  <c r="K346" i="47" s="1"/>
  <c r="K347" i="47" s="1"/>
  <c r="K348" i="47" s="1"/>
  <c r="K349" i="47" s="1"/>
  <c r="K350" i="47" s="1"/>
  <c r="K351" i="47" s="1"/>
  <c r="K352" i="47" s="1"/>
  <c r="K353" i="47" s="1"/>
  <c r="K354" i="47" s="1"/>
  <c r="K355" i="47" s="1"/>
  <c r="K356" i="47" s="1"/>
  <c r="K357" i="47" s="1"/>
  <c r="K358" i="47" s="1"/>
  <c r="K359" i="47" s="1"/>
  <c r="K360" i="47" s="1"/>
  <c r="K361" i="47" s="1"/>
  <c r="K362" i="47" s="1"/>
  <c r="K363" i="47" s="1"/>
  <c r="K364" i="47" s="1"/>
  <c r="K365" i="47" s="1"/>
  <c r="K366" i="47" s="1"/>
  <c r="K367" i="47" s="1"/>
  <c r="K368" i="47" s="1"/>
  <c r="F49" i="52" l="1"/>
  <c r="J43" i="52"/>
  <c r="J40" i="52"/>
  <c r="F11" i="52"/>
  <c r="J28" i="52"/>
  <c r="J20" i="52"/>
  <c r="E175" i="19"/>
  <c r="D175" i="19"/>
  <c r="C175" i="19"/>
  <c r="B175" i="19"/>
  <c r="B179" i="19" s="1"/>
  <c r="O175" i="19" l="1"/>
  <c r="AE76" i="19"/>
  <c r="AF76" i="19" s="1"/>
  <c r="AE77" i="19" l="1"/>
  <c r="D7" i="51"/>
  <c r="F7" i="51"/>
  <c r="H7" i="51" s="1"/>
  <c r="I7" i="51"/>
  <c r="M7" i="51"/>
  <c r="N7" i="51"/>
  <c r="D8" i="51"/>
  <c r="G8" i="51"/>
  <c r="F8" i="51" s="1"/>
  <c r="M8" i="51"/>
  <c r="N8" i="51"/>
  <c r="D9" i="51"/>
  <c r="G9" i="51"/>
  <c r="F9" i="51" s="1"/>
  <c r="M9" i="51"/>
  <c r="N9" i="51"/>
  <c r="C10" i="51"/>
  <c r="M10" i="51" s="1"/>
  <c r="D10" i="51"/>
  <c r="E10" i="51"/>
  <c r="G10" i="51"/>
  <c r="N10" i="51"/>
  <c r="M11" i="51"/>
  <c r="N11" i="51"/>
  <c r="D12" i="51"/>
  <c r="D16" i="51" s="1"/>
  <c r="F12" i="51"/>
  <c r="H12" i="51" s="1"/>
  <c r="G12" i="51"/>
  <c r="M12" i="51"/>
  <c r="N12" i="51"/>
  <c r="D13" i="51"/>
  <c r="F13" i="51"/>
  <c r="I13" i="51" s="1"/>
  <c r="H13" i="51"/>
  <c r="M13" i="51"/>
  <c r="N13" i="51"/>
  <c r="D14" i="51"/>
  <c r="I14" i="51" s="1"/>
  <c r="F14" i="51"/>
  <c r="H14" i="51" s="1"/>
  <c r="M14" i="51"/>
  <c r="N14" i="51"/>
  <c r="D15" i="51"/>
  <c r="F15" i="51"/>
  <c r="I15" i="51" s="1"/>
  <c r="H15" i="51"/>
  <c r="M15" i="51"/>
  <c r="N15" i="51"/>
  <c r="C16" i="51"/>
  <c r="N16" i="51" s="1"/>
  <c r="E16" i="51"/>
  <c r="G16" i="51"/>
  <c r="M16" i="51"/>
  <c r="L16" i="51" s="1"/>
  <c r="L17" i="51" s="1"/>
  <c r="K18" i="51" s="1"/>
  <c r="L18" i="51" s="1"/>
  <c r="D17" i="51"/>
  <c r="F17" i="51"/>
  <c r="I17" i="51" s="1"/>
  <c r="H17" i="51"/>
  <c r="M17" i="51"/>
  <c r="N17" i="51"/>
  <c r="C18" i="51"/>
  <c r="M18" i="51" s="1"/>
  <c r="D18" i="51"/>
  <c r="E18" i="51"/>
  <c r="E84" i="51" s="1"/>
  <c r="F18" i="51"/>
  <c r="H18" i="51" s="1"/>
  <c r="G18" i="51"/>
  <c r="N18" i="51"/>
  <c r="D19" i="51"/>
  <c r="I19" i="51" s="1"/>
  <c r="F19" i="51"/>
  <c r="H19" i="51" s="1"/>
  <c r="M19" i="51"/>
  <c r="N19" i="51"/>
  <c r="D20" i="51"/>
  <c r="F20" i="51"/>
  <c r="I20" i="51" s="1"/>
  <c r="H20" i="51"/>
  <c r="M20" i="51"/>
  <c r="N20" i="51"/>
  <c r="D21" i="51"/>
  <c r="I21" i="51" s="1"/>
  <c r="F21" i="51"/>
  <c r="H21" i="51" s="1"/>
  <c r="M21" i="51"/>
  <c r="N21" i="51"/>
  <c r="D22" i="51"/>
  <c r="F22" i="51"/>
  <c r="I22" i="51" s="1"/>
  <c r="H22" i="51"/>
  <c r="M22" i="51"/>
  <c r="N22" i="51"/>
  <c r="D23" i="51"/>
  <c r="I23" i="51" s="1"/>
  <c r="F23" i="51"/>
  <c r="H23" i="51" s="1"/>
  <c r="M23" i="51"/>
  <c r="N23" i="51"/>
  <c r="D24" i="51"/>
  <c r="F24" i="51"/>
  <c r="I24" i="51" s="1"/>
  <c r="H24" i="51"/>
  <c r="M24" i="51"/>
  <c r="N24" i="51"/>
  <c r="D25" i="51"/>
  <c r="I25" i="51" s="1"/>
  <c r="F25" i="51"/>
  <c r="H25" i="51" s="1"/>
  <c r="M25" i="51"/>
  <c r="N25" i="51"/>
  <c r="D26" i="51"/>
  <c r="F26" i="51"/>
  <c r="I26" i="51" s="1"/>
  <c r="H26" i="51"/>
  <c r="M26" i="51"/>
  <c r="N26" i="51"/>
  <c r="D27" i="51"/>
  <c r="I27" i="51" s="1"/>
  <c r="F27" i="51"/>
  <c r="H27" i="51" s="1"/>
  <c r="M27" i="51"/>
  <c r="N27" i="51"/>
  <c r="C28" i="51"/>
  <c r="E28" i="51"/>
  <c r="G28" i="51"/>
  <c r="M28" i="51"/>
  <c r="N28" i="51"/>
  <c r="D29" i="51"/>
  <c r="D70" i="51" s="1"/>
  <c r="F29" i="51"/>
  <c r="H29" i="51" s="1"/>
  <c r="M29" i="51"/>
  <c r="N29" i="51"/>
  <c r="D30" i="51"/>
  <c r="F30" i="51"/>
  <c r="H30" i="51"/>
  <c r="I30" i="51"/>
  <c r="M30" i="51"/>
  <c r="N30" i="51"/>
  <c r="D31" i="51"/>
  <c r="F31" i="51"/>
  <c r="H31" i="51" s="1"/>
  <c r="M31" i="51"/>
  <c r="N31" i="51"/>
  <c r="D32" i="51"/>
  <c r="F32" i="51"/>
  <c r="H32" i="51"/>
  <c r="I32" i="51"/>
  <c r="M32" i="51"/>
  <c r="N32" i="51"/>
  <c r="D33" i="51"/>
  <c r="F33" i="51"/>
  <c r="H33" i="51" s="1"/>
  <c r="M33" i="51"/>
  <c r="N33" i="51"/>
  <c r="D34" i="51"/>
  <c r="F34" i="51"/>
  <c r="H34" i="51"/>
  <c r="I34" i="51"/>
  <c r="M34" i="51"/>
  <c r="N34" i="51"/>
  <c r="D35" i="51"/>
  <c r="F35" i="51"/>
  <c r="H35" i="51" s="1"/>
  <c r="M35" i="51"/>
  <c r="N35" i="51"/>
  <c r="D36" i="51"/>
  <c r="F36" i="51"/>
  <c r="H36" i="51"/>
  <c r="I36" i="51"/>
  <c r="M36" i="51"/>
  <c r="N36" i="51"/>
  <c r="D37" i="51"/>
  <c r="F37" i="51"/>
  <c r="H37" i="51" s="1"/>
  <c r="M37" i="51"/>
  <c r="N37" i="51"/>
  <c r="D38" i="51"/>
  <c r="F38" i="51"/>
  <c r="H38" i="51"/>
  <c r="I38" i="51"/>
  <c r="M38" i="51"/>
  <c r="N38" i="51"/>
  <c r="D39" i="51"/>
  <c r="F39" i="51"/>
  <c r="H39" i="51" s="1"/>
  <c r="M39" i="51"/>
  <c r="N39" i="51"/>
  <c r="D40" i="51"/>
  <c r="F40" i="51"/>
  <c r="H40" i="51"/>
  <c r="I40" i="51"/>
  <c r="M40" i="51"/>
  <c r="N40" i="51"/>
  <c r="D41" i="51"/>
  <c r="F41" i="51"/>
  <c r="H41" i="51" s="1"/>
  <c r="L41" i="51"/>
  <c r="M41" i="51"/>
  <c r="N41" i="51"/>
  <c r="D42" i="51"/>
  <c r="F42" i="51"/>
  <c r="I42" i="51" s="1"/>
  <c r="H42" i="51"/>
  <c r="M42" i="51"/>
  <c r="N42" i="51"/>
  <c r="D43" i="51"/>
  <c r="I43" i="51" s="1"/>
  <c r="F43" i="51"/>
  <c r="H43" i="51" s="1"/>
  <c r="M43" i="51"/>
  <c r="N43" i="51"/>
  <c r="D44" i="51"/>
  <c r="F44" i="51"/>
  <c r="I44" i="51" s="1"/>
  <c r="H44" i="51"/>
  <c r="M44" i="51"/>
  <c r="N44" i="51"/>
  <c r="D45" i="51"/>
  <c r="I45" i="51" s="1"/>
  <c r="F45" i="51"/>
  <c r="H45" i="51" s="1"/>
  <c r="M45" i="51"/>
  <c r="N45" i="51"/>
  <c r="D46" i="51"/>
  <c r="F46" i="51"/>
  <c r="I46" i="51" s="1"/>
  <c r="H46" i="51"/>
  <c r="M46" i="51"/>
  <c r="N46" i="51"/>
  <c r="D47" i="51"/>
  <c r="I47" i="51" s="1"/>
  <c r="F47" i="51"/>
  <c r="H47" i="51" s="1"/>
  <c r="M47" i="51"/>
  <c r="N47" i="51"/>
  <c r="D48" i="51"/>
  <c r="F48" i="51"/>
  <c r="I48" i="51" s="1"/>
  <c r="H48" i="51"/>
  <c r="M48" i="51"/>
  <c r="N48" i="51"/>
  <c r="F49" i="51"/>
  <c r="F50" i="51"/>
  <c r="D51" i="51"/>
  <c r="F51" i="51"/>
  <c r="I51" i="51" s="1"/>
  <c r="H51" i="51"/>
  <c r="M51" i="51"/>
  <c r="N51" i="51"/>
  <c r="D52" i="51"/>
  <c r="I52" i="51" s="1"/>
  <c r="F52" i="51"/>
  <c r="H52" i="51" s="1"/>
  <c r="M52" i="51"/>
  <c r="N52" i="51"/>
  <c r="D53" i="51"/>
  <c r="F53" i="51"/>
  <c r="I53" i="51" s="1"/>
  <c r="H53" i="51"/>
  <c r="M53" i="51"/>
  <c r="N53" i="51"/>
  <c r="D54" i="51"/>
  <c r="F54" i="51"/>
  <c r="G54" i="51" s="1"/>
  <c r="G70" i="51" s="1"/>
  <c r="H54" i="51"/>
  <c r="I54" i="51"/>
  <c r="M54" i="51"/>
  <c r="N54" i="51"/>
  <c r="F56" i="51"/>
  <c r="G56" i="51"/>
  <c r="G57" i="51"/>
  <c r="G58" i="51"/>
  <c r="G59" i="51"/>
  <c r="G60" i="51"/>
  <c r="G61" i="51"/>
  <c r="G62" i="51"/>
  <c r="G63" i="51"/>
  <c r="F64" i="51"/>
  <c r="G64" i="51" s="1"/>
  <c r="G65" i="51"/>
  <c r="G66" i="51"/>
  <c r="G67" i="51"/>
  <c r="G68" i="51"/>
  <c r="D69" i="51"/>
  <c r="G69" i="51"/>
  <c r="H69" i="51"/>
  <c r="C70" i="51"/>
  <c r="E70" i="51"/>
  <c r="F70" i="51"/>
  <c r="H70" i="51" s="1"/>
  <c r="M70" i="51"/>
  <c r="N70" i="51"/>
  <c r="D71" i="51"/>
  <c r="G71" i="51"/>
  <c r="H71" i="51"/>
  <c r="I71" i="51"/>
  <c r="M71" i="51"/>
  <c r="N71" i="51"/>
  <c r="D72" i="51"/>
  <c r="I72" i="51" s="1"/>
  <c r="G72" i="51"/>
  <c r="H72" i="51"/>
  <c r="M72" i="51"/>
  <c r="N72" i="51"/>
  <c r="D73" i="51"/>
  <c r="F73" i="51"/>
  <c r="I73" i="51" s="1"/>
  <c r="H73" i="51"/>
  <c r="M73" i="51"/>
  <c r="N73" i="51"/>
  <c r="F74" i="51"/>
  <c r="D75" i="51"/>
  <c r="F75" i="51"/>
  <c r="H75" i="51"/>
  <c r="I75" i="51"/>
  <c r="M75" i="51"/>
  <c r="N75" i="51"/>
  <c r="D76" i="51"/>
  <c r="F76" i="51"/>
  <c r="H76" i="51" s="1"/>
  <c r="M76" i="51"/>
  <c r="N76" i="51"/>
  <c r="D77" i="51"/>
  <c r="F77" i="51"/>
  <c r="H77" i="51"/>
  <c r="I77" i="51"/>
  <c r="M77" i="51"/>
  <c r="N77" i="51"/>
  <c r="D78" i="51"/>
  <c r="F78" i="51"/>
  <c r="H78" i="51" s="1"/>
  <c r="M78" i="51"/>
  <c r="N78" i="51"/>
  <c r="D79" i="51"/>
  <c r="F79" i="51"/>
  <c r="H79" i="51"/>
  <c r="I79" i="51"/>
  <c r="M79" i="51"/>
  <c r="N79" i="51"/>
  <c r="D80" i="51"/>
  <c r="F80" i="51"/>
  <c r="H80" i="51" s="1"/>
  <c r="M80" i="51"/>
  <c r="N80" i="51"/>
  <c r="F81" i="51"/>
  <c r="H81" i="51" s="1"/>
  <c r="I81" i="51"/>
  <c r="M81" i="51"/>
  <c r="N81" i="51"/>
  <c r="G82" i="51"/>
  <c r="C83" i="51"/>
  <c r="M83" i="51" s="1"/>
  <c r="D83" i="51"/>
  <c r="E83" i="51"/>
  <c r="G83" i="51"/>
  <c r="N83" i="51"/>
  <c r="C84" i="51"/>
  <c r="M84" i="51" s="1"/>
  <c r="C85" i="51"/>
  <c r="M85" i="51" s="1"/>
  <c r="N85" i="51"/>
  <c r="H86" i="51"/>
  <c r="M86" i="51"/>
  <c r="N86" i="51"/>
  <c r="C87" i="51"/>
  <c r="M87" i="51" s="1"/>
  <c r="D87" i="51"/>
  <c r="E87" i="51"/>
  <c r="N87" i="51"/>
  <c r="C88" i="51"/>
  <c r="C89" i="51" s="1"/>
  <c r="N88" i="51"/>
  <c r="D84" i="51" l="1"/>
  <c r="M89" i="51"/>
  <c r="N89" i="51"/>
  <c r="H9" i="51"/>
  <c r="I9" i="51"/>
  <c r="H8" i="51"/>
  <c r="I8" i="51"/>
  <c r="F10" i="51"/>
  <c r="G84" i="51"/>
  <c r="M88" i="51"/>
  <c r="I70" i="51"/>
  <c r="D28" i="51"/>
  <c r="D88" i="51" s="1"/>
  <c r="D89" i="51" s="1"/>
  <c r="I18" i="51"/>
  <c r="F16" i="51"/>
  <c r="I12" i="51"/>
  <c r="E88" i="51"/>
  <c r="E89" i="51" s="1"/>
  <c r="F83" i="51"/>
  <c r="I80" i="51"/>
  <c r="I78" i="51"/>
  <c r="I76" i="51"/>
  <c r="I41" i="51"/>
  <c r="I39" i="51"/>
  <c r="I37" i="51"/>
  <c r="I35" i="51"/>
  <c r="I33" i="51"/>
  <c r="I31" i="51"/>
  <c r="I29" i="51"/>
  <c r="N84" i="51"/>
  <c r="F28" i="51"/>
  <c r="H16" i="51" l="1"/>
  <c r="I16" i="51"/>
  <c r="F84" i="51"/>
  <c r="I28" i="51"/>
  <c r="H28" i="51"/>
  <c r="I83" i="51"/>
  <c r="H83" i="51"/>
  <c r="H10" i="51"/>
  <c r="I10" i="51"/>
  <c r="H84" i="51" l="1"/>
  <c r="I84" i="51"/>
  <c r="F85" i="51"/>
  <c r="I85" i="51" l="1"/>
  <c r="H85" i="51"/>
  <c r="F87" i="51"/>
  <c r="G85" i="51"/>
  <c r="G87" i="51" s="1"/>
  <c r="G88" i="51" s="1"/>
  <c r="G89" i="51" s="1"/>
  <c r="G90" i="51" s="1"/>
  <c r="I87" i="51" l="1"/>
  <c r="H87" i="51"/>
  <c r="F88" i="51"/>
  <c r="H88" i="51" l="1"/>
  <c r="I88" i="51"/>
  <c r="F89" i="51"/>
  <c r="K64" i="50" l="1"/>
  <c r="J52" i="50"/>
  <c r="J44" i="50"/>
  <c r="M35" i="50"/>
  <c r="M36" i="50" s="1"/>
  <c r="K240" i="47" l="1"/>
  <c r="F166" i="26" l="1"/>
  <c r="F163" i="26"/>
  <c r="F177" i="26" s="1"/>
  <c r="A161" i="26"/>
  <c r="E158" i="26"/>
  <c r="E156" i="26"/>
  <c r="D158" i="26" s="1"/>
  <c r="E148" i="26"/>
  <c r="H241" i="47"/>
  <c r="H240" i="47"/>
  <c r="H239" i="47"/>
  <c r="J283" i="47"/>
  <c r="K251" i="47" s="1"/>
  <c r="I283" i="47"/>
  <c r="G283" i="47"/>
  <c r="F283" i="47"/>
  <c r="E283" i="47"/>
  <c r="D283" i="47"/>
  <c r="H283" i="47" l="1"/>
  <c r="E159" i="26"/>
  <c r="F51" i="45"/>
  <c r="H48" i="49"/>
  <c r="C70" i="19"/>
  <c r="D70" i="19"/>
  <c r="D53" i="49"/>
  <c r="E53" i="49" s="1"/>
  <c r="A53" i="49"/>
  <c r="D52" i="49"/>
  <c r="E52" i="49" s="1"/>
  <c r="D51" i="49"/>
  <c r="E51" i="49" s="1"/>
  <c r="A51" i="49"/>
  <c r="D50" i="49"/>
  <c r="E50" i="49" s="1"/>
  <c r="A50" i="49"/>
  <c r="D49" i="49"/>
  <c r="E49" i="49" s="1"/>
  <c r="D48" i="49"/>
  <c r="E48" i="49" s="1"/>
  <c r="A48" i="49"/>
  <c r="D47" i="49"/>
  <c r="E47" i="49" s="1"/>
  <c r="G46" i="49"/>
  <c r="F46" i="49"/>
  <c r="C46" i="49"/>
  <c r="B46" i="49"/>
  <c r="D43" i="49"/>
  <c r="E43" i="49" s="1"/>
  <c r="G42" i="49"/>
  <c r="F42" i="49"/>
  <c r="F44" i="49" s="1"/>
  <c r="C42" i="49"/>
  <c r="B42" i="49"/>
  <c r="E42" i="49" s="1"/>
  <c r="E41" i="49"/>
  <c r="D41" i="49"/>
  <c r="C40" i="49"/>
  <c r="B40" i="49"/>
  <c r="D39" i="49"/>
  <c r="E39" i="49" s="1"/>
  <c r="C38" i="49"/>
  <c r="B38" i="49"/>
  <c r="B37" i="49"/>
  <c r="D37" i="49" s="1"/>
  <c r="E37" i="49" s="1"/>
  <c r="A37" i="49"/>
  <c r="D35" i="49"/>
  <c r="E35" i="49" s="1"/>
  <c r="B33" i="49"/>
  <c r="B27" i="49" s="1"/>
  <c r="D32" i="49"/>
  <c r="E32" i="49" s="1"/>
  <c r="D31" i="49"/>
  <c r="E31" i="49" s="1"/>
  <c r="A31" i="49"/>
  <c r="D30" i="49"/>
  <c r="E30" i="49" s="1"/>
  <c r="D29" i="49"/>
  <c r="E29" i="49" s="1"/>
  <c r="D28" i="49"/>
  <c r="E28" i="49" s="1"/>
  <c r="G27" i="49"/>
  <c r="F27" i="49"/>
  <c r="C27" i="49"/>
  <c r="C44" i="49" s="1"/>
  <c r="D23" i="49"/>
  <c r="E23" i="49" s="1"/>
  <c r="G22" i="49"/>
  <c r="F22" i="49"/>
  <c r="D22" i="49"/>
  <c r="C22" i="49"/>
  <c r="B22" i="49"/>
  <c r="E22" i="49" s="1"/>
  <c r="D21" i="49"/>
  <c r="E21" i="49" s="1"/>
  <c r="D20" i="49"/>
  <c r="E20" i="49" s="1"/>
  <c r="G19" i="49"/>
  <c r="F19" i="49"/>
  <c r="C19" i="49"/>
  <c r="B19" i="49"/>
  <c r="C18" i="49"/>
  <c r="E18" i="49" s="1"/>
  <c r="D17" i="49"/>
  <c r="E17" i="49" s="1"/>
  <c r="J16" i="49"/>
  <c r="G16" i="49"/>
  <c r="F16" i="49"/>
  <c r="C16" i="49"/>
  <c r="B16" i="49"/>
  <c r="J15" i="49"/>
  <c r="F15" i="49"/>
  <c r="F12" i="49" s="1"/>
  <c r="C15" i="49"/>
  <c r="B15" i="49"/>
  <c r="B12" i="49" s="1"/>
  <c r="J14" i="49"/>
  <c r="K14" i="49" s="1"/>
  <c r="L14" i="49" s="1"/>
  <c r="D14" i="49"/>
  <c r="E14" i="49" s="1"/>
  <c r="J13" i="49"/>
  <c r="K13" i="49" s="1"/>
  <c r="D13" i="49"/>
  <c r="E13" i="49" s="1"/>
  <c r="G12" i="49"/>
  <c r="E11" i="49"/>
  <c r="D11" i="49"/>
  <c r="D10" i="49"/>
  <c r="D8" i="49" s="1"/>
  <c r="D9" i="49"/>
  <c r="E9" i="49" s="1"/>
  <c r="G8" i="49"/>
  <c r="F8" i="49"/>
  <c r="C8" i="49"/>
  <c r="B8" i="49"/>
  <c r="E8" i="49" s="1"/>
  <c r="E13" i="19"/>
  <c r="E15" i="19"/>
  <c r="E10" i="19"/>
  <c r="E9" i="19"/>
  <c r="E8" i="19"/>
  <c r="E66" i="19"/>
  <c r="E19" i="19"/>
  <c r="E17" i="19"/>
  <c r="E18" i="19"/>
  <c r="E16" i="19"/>
  <c r="E47" i="19"/>
  <c r="O47" i="19" s="1"/>
  <c r="E55" i="19"/>
  <c r="E54" i="19"/>
  <c r="E53" i="19"/>
  <c r="E52" i="19"/>
  <c r="E51" i="19"/>
  <c r="E50" i="19"/>
  <c r="E49" i="19"/>
  <c r="E48" i="19"/>
  <c r="E44" i="19"/>
  <c r="E43" i="19"/>
  <c r="E42" i="19"/>
  <c r="E41" i="19"/>
  <c r="E40" i="19"/>
  <c r="E39" i="19"/>
  <c r="E38" i="19"/>
  <c r="E37" i="19"/>
  <c r="E36" i="19"/>
  <c r="E35" i="19"/>
  <c r="BA33" i="19"/>
  <c r="H13" i="49" l="1"/>
  <c r="D15" i="49"/>
  <c r="E15" i="49" s="1"/>
  <c r="D42" i="49"/>
  <c r="E12" i="49"/>
  <c r="E46" i="49"/>
  <c r="F24" i="49"/>
  <c r="C12" i="49"/>
  <c r="E40" i="49"/>
  <c r="B24" i="49"/>
  <c r="G24" i="49"/>
  <c r="D16" i="49"/>
  <c r="E16" i="49" s="1"/>
  <c r="E19" i="49"/>
  <c r="G44" i="49"/>
  <c r="G54" i="49" s="1"/>
  <c r="K15" i="49"/>
  <c r="L15" i="49" s="1"/>
  <c r="D46" i="49"/>
  <c r="C24" i="49"/>
  <c r="L13" i="49"/>
  <c r="E27" i="49"/>
  <c r="B44" i="49"/>
  <c r="B54" i="49" s="1"/>
  <c r="D27" i="49"/>
  <c r="F54" i="49"/>
  <c r="K16" i="49"/>
  <c r="K17" i="49" s="1"/>
  <c r="J17" i="49"/>
  <c r="D18" i="49"/>
  <c r="D19" i="49"/>
  <c r="D33" i="49"/>
  <c r="E33" i="49" s="1"/>
  <c r="D38" i="49"/>
  <c r="E38" i="49" s="1"/>
  <c r="D40" i="49"/>
  <c r="E10" i="49"/>
  <c r="D12" i="49"/>
  <c r="C54" i="49"/>
  <c r="E72" i="45"/>
  <c r="O84" i="45"/>
  <c r="N84" i="45"/>
  <c r="M84" i="45"/>
  <c r="L84" i="45"/>
  <c r="K84" i="45"/>
  <c r="J84" i="45"/>
  <c r="I84" i="45"/>
  <c r="H84" i="45"/>
  <c r="G84" i="45"/>
  <c r="F84" i="45"/>
  <c r="E84" i="45"/>
  <c r="C71" i="45"/>
  <c r="C70" i="45"/>
  <c r="C69" i="45"/>
  <c r="C68" i="45"/>
  <c r="C67" i="45"/>
  <c r="C65" i="45"/>
  <c r="C64" i="45"/>
  <c r="C63" i="45"/>
  <c r="C62" i="45"/>
  <c r="C61" i="45"/>
  <c r="T71" i="45"/>
  <c r="P71" i="45"/>
  <c r="T70" i="45"/>
  <c r="P70" i="45"/>
  <c r="T69" i="45"/>
  <c r="P69" i="45"/>
  <c r="T68" i="45"/>
  <c r="P68" i="45"/>
  <c r="T67" i="45"/>
  <c r="P67" i="45"/>
  <c r="T66" i="45"/>
  <c r="P66" i="45"/>
  <c r="T65" i="45"/>
  <c r="P65" i="45"/>
  <c r="U65" i="45" s="1"/>
  <c r="V65" i="45" s="1"/>
  <c r="T64" i="45"/>
  <c r="P64" i="45"/>
  <c r="T63" i="45"/>
  <c r="P63" i="45"/>
  <c r="Q63" i="45" s="1"/>
  <c r="T62" i="45"/>
  <c r="P62" i="45"/>
  <c r="T61" i="45"/>
  <c r="P61" i="45"/>
  <c r="Q61" i="45" s="1"/>
  <c r="T59" i="45"/>
  <c r="P59" i="45"/>
  <c r="O72" i="45"/>
  <c r="N72" i="45"/>
  <c r="M72" i="45"/>
  <c r="L72" i="45"/>
  <c r="K72" i="45"/>
  <c r="J72" i="45"/>
  <c r="I72" i="45"/>
  <c r="H72" i="45"/>
  <c r="G72" i="45"/>
  <c r="F72" i="45"/>
  <c r="D72" i="45"/>
  <c r="B84" i="45"/>
  <c r="T82" i="45"/>
  <c r="P82" i="45"/>
  <c r="U82" i="45" s="1"/>
  <c r="B72" i="45"/>
  <c r="Q67" i="45" l="1"/>
  <c r="Q62" i="45"/>
  <c r="R68" i="45"/>
  <c r="S68" i="45" s="1"/>
  <c r="R66" i="45"/>
  <c r="S66" i="45" s="1"/>
  <c r="R82" i="45"/>
  <c r="S82" i="45" s="1"/>
  <c r="E24" i="49"/>
  <c r="D24" i="49"/>
  <c r="L16" i="49"/>
  <c r="C55" i="49"/>
  <c r="L17" i="49"/>
  <c r="E54" i="49"/>
  <c r="B55" i="49"/>
  <c r="D44" i="49"/>
  <c r="V82" i="45"/>
  <c r="Q64" i="45"/>
  <c r="R69" i="45"/>
  <c r="S69" i="45" s="1"/>
  <c r="R70" i="45"/>
  <c r="S70" i="45" s="1"/>
  <c r="W70" i="45" s="1"/>
  <c r="Q71" i="45"/>
  <c r="U59" i="45"/>
  <c r="U61" i="45"/>
  <c r="V61" i="45" s="1"/>
  <c r="U62" i="45"/>
  <c r="V62" i="45" s="1"/>
  <c r="U63" i="45"/>
  <c r="V63" i="45" s="1"/>
  <c r="U64" i="45"/>
  <c r="V64" i="45" s="1"/>
  <c r="Q65" i="45"/>
  <c r="Q66" i="45"/>
  <c r="U66" i="45"/>
  <c r="V66" i="45" s="1"/>
  <c r="U67" i="45"/>
  <c r="V67" i="45" s="1"/>
  <c r="Q68" i="45"/>
  <c r="U68" i="45"/>
  <c r="V68" i="45" s="1"/>
  <c r="Q69" i="45"/>
  <c r="W69" i="45" s="1"/>
  <c r="U69" i="45"/>
  <c r="V69" i="45" s="1"/>
  <c r="Q70" i="45"/>
  <c r="U70" i="45"/>
  <c r="V70" i="45" s="1"/>
  <c r="U71" i="45"/>
  <c r="V71" i="45" s="1"/>
  <c r="R61" i="45"/>
  <c r="S61" i="45" s="1"/>
  <c r="W61" i="45" s="1"/>
  <c r="R62" i="45"/>
  <c r="S62" i="45" s="1"/>
  <c r="R63" i="45"/>
  <c r="S63" i="45" s="1"/>
  <c r="W63" i="45" s="1"/>
  <c r="R64" i="45"/>
  <c r="S64" i="45" s="1"/>
  <c r="R65" i="45"/>
  <c r="S65" i="45" s="1"/>
  <c r="R67" i="45"/>
  <c r="S67" i="45" s="1"/>
  <c r="R71" i="45"/>
  <c r="S71" i="45" s="1"/>
  <c r="Q82" i="45"/>
  <c r="W82" i="45" s="1"/>
  <c r="W66" i="45" l="1"/>
  <c r="W67" i="45"/>
  <c r="W62" i="45"/>
  <c r="W68" i="45"/>
  <c r="E44" i="49"/>
  <c r="D54" i="49"/>
  <c r="W64" i="45"/>
  <c r="W71" i="45"/>
  <c r="W65" i="45"/>
  <c r="V59" i="45"/>
  <c r="T83" i="45" l="1"/>
  <c r="T81" i="45"/>
  <c r="T80" i="45"/>
  <c r="T79" i="45"/>
  <c r="T78" i="45"/>
  <c r="T77" i="45"/>
  <c r="T76" i="45"/>
  <c r="T75" i="45"/>
  <c r="T74" i="45"/>
  <c r="T73" i="45"/>
  <c r="T51" i="45"/>
  <c r="T58" i="45"/>
  <c r="T57" i="45"/>
  <c r="T56" i="45"/>
  <c r="T55" i="45"/>
  <c r="T54" i="45"/>
  <c r="T53" i="45"/>
  <c r="T52" i="45"/>
  <c r="T50" i="45"/>
  <c r="T49" i="45"/>
  <c r="T48" i="45"/>
  <c r="T47" i="45"/>
  <c r="T46" i="45"/>
  <c r="T45" i="45"/>
  <c r="T44" i="45"/>
  <c r="T43" i="45"/>
  <c r="T42" i="45"/>
  <c r="T41" i="45"/>
  <c r="T40" i="45"/>
  <c r="T39" i="45"/>
  <c r="T38" i="45"/>
  <c r="T37" i="45"/>
  <c r="T36" i="45"/>
  <c r="C83" i="45"/>
  <c r="C81" i="45"/>
  <c r="C80" i="45"/>
  <c r="C79" i="45"/>
  <c r="C78" i="45"/>
  <c r="C77" i="45"/>
  <c r="C76" i="45"/>
  <c r="C75" i="45"/>
  <c r="C74" i="45"/>
  <c r="C56" i="45"/>
  <c r="C39" i="45"/>
  <c r="C51" i="45"/>
  <c r="C50" i="45"/>
  <c r="C53" i="45"/>
  <c r="C37" i="45"/>
  <c r="C42" i="45"/>
  <c r="C38" i="45"/>
  <c r="C44" i="45"/>
  <c r="C54" i="45"/>
  <c r="C49" i="45"/>
  <c r="O35" i="45"/>
  <c r="N35" i="45"/>
  <c r="M35" i="45"/>
  <c r="L35" i="45"/>
  <c r="K35" i="45"/>
  <c r="J35" i="45"/>
  <c r="I35" i="45"/>
  <c r="H35" i="45"/>
  <c r="G35" i="45"/>
  <c r="F35" i="45"/>
  <c r="E35" i="45"/>
  <c r="D35" i="45"/>
  <c r="B35" i="45"/>
  <c r="T22" i="45"/>
  <c r="P22" i="45"/>
  <c r="U22" i="45" s="1"/>
  <c r="C22" i="45"/>
  <c r="B24" i="45"/>
  <c r="B8" i="45"/>
  <c r="B7" i="45"/>
  <c r="T84" i="45" l="1"/>
  <c r="T72" i="45"/>
  <c r="R22" i="45"/>
  <c r="S22" i="45" s="1"/>
  <c r="V22" i="45"/>
  <c r="Q22" i="45"/>
  <c r="W22" i="45" l="1"/>
  <c r="J369" i="47" l="1"/>
  <c r="I369" i="47"/>
  <c r="G369" i="47"/>
  <c r="F369" i="47"/>
  <c r="E369" i="47"/>
  <c r="D369" i="47"/>
  <c r="H321" i="47"/>
  <c r="H320" i="47"/>
  <c r="H319" i="47"/>
  <c r="H369" i="47" l="1"/>
  <c r="D32" i="19"/>
  <c r="D31" i="19"/>
  <c r="C66" i="19"/>
  <c r="D66" i="19"/>
  <c r="D61" i="19"/>
  <c r="D60" i="19"/>
  <c r="D59" i="19"/>
  <c r="D58" i="19"/>
  <c r="D57" i="19"/>
  <c r="D56" i="19"/>
  <c r="D55" i="19"/>
  <c r="D54" i="19"/>
  <c r="D53" i="19"/>
  <c r="D52" i="19"/>
  <c r="D51" i="19"/>
  <c r="D50" i="19"/>
  <c r="D49" i="19"/>
  <c r="D48" i="19"/>
  <c r="D44" i="19"/>
  <c r="D43" i="19"/>
  <c r="D42" i="19"/>
  <c r="D41" i="19"/>
  <c r="D40" i="19"/>
  <c r="D39" i="19"/>
  <c r="D38" i="19"/>
  <c r="D37" i="19"/>
  <c r="D36" i="19"/>
  <c r="D35" i="19"/>
  <c r="C32" i="19"/>
  <c r="AN20" i="19" l="1"/>
  <c r="AN21" i="19" s="1"/>
  <c r="D80" i="45"/>
  <c r="D84" i="45"/>
  <c r="AF56" i="45"/>
  <c r="AQ6" i="45"/>
  <c r="AP6" i="45"/>
  <c r="AO6" i="45"/>
  <c r="AN6" i="45"/>
  <c r="AM6" i="45"/>
  <c r="AL6" i="45"/>
  <c r="AK6" i="45"/>
  <c r="AJ6" i="45"/>
  <c r="AI6" i="45"/>
  <c r="AH6" i="45"/>
  <c r="AG6" i="45"/>
  <c r="AF6" i="45"/>
  <c r="E15" i="45" l="1"/>
  <c r="E10" i="45"/>
  <c r="D25" i="19" l="1"/>
  <c r="D24" i="19"/>
  <c r="D19" i="19"/>
  <c r="O27" i="19"/>
  <c r="O25" i="19"/>
  <c r="O23" i="19"/>
  <c r="O22" i="19"/>
  <c r="D17" i="19"/>
  <c r="D10" i="19"/>
  <c r="D9" i="19"/>
  <c r="D8" i="19"/>
  <c r="C15" i="19"/>
  <c r="C31" i="19"/>
  <c r="C18" i="19"/>
  <c r="C16" i="19"/>
  <c r="P10" i="45"/>
  <c r="R10" i="45" s="1"/>
  <c r="E9" i="45"/>
  <c r="E193" i="26" l="1"/>
  <c r="A206" i="26"/>
  <c r="E70" i="48"/>
  <c r="D70" i="48"/>
  <c r="A70" i="48"/>
  <c r="E69" i="48"/>
  <c r="D69" i="48"/>
  <c r="D68" i="48"/>
  <c r="E68" i="48" s="1"/>
  <c r="A68" i="48"/>
  <c r="E67" i="48"/>
  <c r="D67" i="48"/>
  <c r="A67" i="48"/>
  <c r="E66" i="48"/>
  <c r="D66" i="48"/>
  <c r="D65" i="48"/>
  <c r="E65" i="48" s="1"/>
  <c r="A65" i="48"/>
  <c r="E64" i="48"/>
  <c r="D64" i="48"/>
  <c r="G62" i="48"/>
  <c r="G71" i="48" s="1"/>
  <c r="F62" i="48"/>
  <c r="C62" i="48"/>
  <c r="B62" i="48"/>
  <c r="E62" i="48" s="1"/>
  <c r="D59" i="48"/>
  <c r="D57" i="48" s="1"/>
  <c r="E58" i="48"/>
  <c r="D58" i="48"/>
  <c r="G57" i="48"/>
  <c r="F57" i="48"/>
  <c r="C57" i="48"/>
  <c r="B57" i="48"/>
  <c r="E57" i="48" s="1"/>
  <c r="E55" i="48"/>
  <c r="D55" i="48"/>
  <c r="E54" i="48"/>
  <c r="D54" i="48"/>
  <c r="C54" i="48"/>
  <c r="B54" i="48"/>
  <c r="D53" i="48"/>
  <c r="E53" i="48" s="1"/>
  <c r="E52" i="48"/>
  <c r="D52" i="48"/>
  <c r="D51" i="48"/>
  <c r="E51" i="48" s="1"/>
  <c r="B51" i="48"/>
  <c r="E50" i="48"/>
  <c r="D50" i="48"/>
  <c r="E49" i="48"/>
  <c r="D49" i="48"/>
  <c r="A49" i="48"/>
  <c r="D47" i="48"/>
  <c r="E47" i="48" s="1"/>
  <c r="D45" i="48"/>
  <c r="E45" i="48" s="1"/>
  <c r="D44" i="48"/>
  <c r="E44" i="48" s="1"/>
  <c r="D43" i="48"/>
  <c r="E43" i="48" s="1"/>
  <c r="A43" i="48"/>
  <c r="E42" i="48"/>
  <c r="D42" i="48"/>
  <c r="D41" i="48"/>
  <c r="E41" i="48" s="1"/>
  <c r="E40" i="48"/>
  <c r="D40" i="48"/>
  <c r="G39" i="48"/>
  <c r="G60" i="48" s="1"/>
  <c r="F39" i="48"/>
  <c r="F60" i="48" s="1"/>
  <c r="E39" i="48"/>
  <c r="C39" i="48"/>
  <c r="C60" i="48" s="1"/>
  <c r="B39" i="48"/>
  <c r="D39" i="48" s="1"/>
  <c r="G36" i="48"/>
  <c r="C36" i="48"/>
  <c r="D35" i="48"/>
  <c r="D34" i="48"/>
  <c r="E34" i="48" s="1"/>
  <c r="G33" i="48"/>
  <c r="F33" i="48"/>
  <c r="E33" i="48"/>
  <c r="D33" i="48"/>
  <c r="C33" i="48"/>
  <c r="B33" i="48"/>
  <c r="B31" i="48"/>
  <c r="E31" i="48" s="1"/>
  <c r="B29" i="48"/>
  <c r="D29" i="48" s="1"/>
  <c r="E29" i="48" s="1"/>
  <c r="B28" i="48"/>
  <c r="D28" i="48" s="1"/>
  <c r="E28" i="48" s="1"/>
  <c r="B27" i="48"/>
  <c r="D27" i="48" s="1"/>
  <c r="G26" i="48"/>
  <c r="F26" i="48"/>
  <c r="C26" i="48"/>
  <c r="E25" i="48"/>
  <c r="D25" i="48"/>
  <c r="D24" i="48"/>
  <c r="E24" i="48" s="1"/>
  <c r="G23" i="48"/>
  <c r="F23" i="48"/>
  <c r="E23" i="48"/>
  <c r="D23" i="48"/>
  <c r="C23" i="48"/>
  <c r="B23" i="48"/>
  <c r="B22" i="48"/>
  <c r="E22" i="48" s="1"/>
  <c r="D21" i="48"/>
  <c r="E21" i="48" s="1"/>
  <c r="E20" i="48"/>
  <c r="D20" i="48"/>
  <c r="G19" i="48"/>
  <c r="F19" i="48"/>
  <c r="B19" i="48"/>
  <c r="D19" i="48" s="1"/>
  <c r="E19" i="48" s="1"/>
  <c r="F18" i="48"/>
  <c r="B18" i="48"/>
  <c r="D18" i="48" s="1"/>
  <c r="E18" i="48" s="1"/>
  <c r="D17" i="48"/>
  <c r="D16" i="48"/>
  <c r="E16" i="48" s="1"/>
  <c r="G15" i="48"/>
  <c r="F15" i="48"/>
  <c r="C15" i="48"/>
  <c r="B15" i="48"/>
  <c r="E15" i="48" s="1"/>
  <c r="E13" i="48"/>
  <c r="D13" i="48"/>
  <c r="D11" i="48"/>
  <c r="D9" i="48" s="1"/>
  <c r="D10" i="48"/>
  <c r="E10" i="48" s="1"/>
  <c r="G9" i="48"/>
  <c r="F9" i="48"/>
  <c r="F36" i="48" s="1"/>
  <c r="C9" i="48"/>
  <c r="B9" i="48"/>
  <c r="F211" i="26"/>
  <c r="F208" i="26"/>
  <c r="E203" i="26"/>
  <c r="E201" i="26"/>
  <c r="D195" i="26" s="1"/>
  <c r="D203" i="26" s="1"/>
  <c r="F222" i="26" l="1"/>
  <c r="E204" i="26"/>
  <c r="D22" i="48"/>
  <c r="B26" i="48"/>
  <c r="E26" i="48" s="1"/>
  <c r="D31" i="48"/>
  <c r="D15" i="48"/>
  <c r="C71" i="48"/>
  <c r="D26" i="48"/>
  <c r="E27" i="48"/>
  <c r="D60" i="48"/>
  <c r="E60" i="48" s="1"/>
  <c r="F71" i="48"/>
  <c r="E59" i="48"/>
  <c r="B60" i="48"/>
  <c r="B71" i="48" s="1"/>
  <c r="E71" i="48" s="1"/>
  <c r="D62" i="48"/>
  <c r="E11" i="48"/>
  <c r="E17" i="48"/>
  <c r="E9" i="48"/>
  <c r="D36" i="48" l="1"/>
  <c r="B36" i="48"/>
  <c r="E36" i="48" s="1"/>
  <c r="D71" i="48"/>
  <c r="D481" i="47"/>
  <c r="E481" i="47"/>
  <c r="F481" i="47"/>
  <c r="G481" i="47"/>
  <c r="H481" i="47"/>
  <c r="I481" i="47"/>
  <c r="J481" i="47"/>
  <c r="N76" i="19"/>
  <c r="M76" i="19"/>
  <c r="L76" i="19"/>
  <c r="K76" i="19"/>
  <c r="J76" i="19"/>
  <c r="I76" i="19"/>
  <c r="H76" i="19"/>
  <c r="G76" i="19"/>
  <c r="F76" i="19"/>
  <c r="E76" i="19"/>
  <c r="C76" i="19"/>
  <c r="N75" i="19"/>
  <c r="M75" i="19"/>
  <c r="L75" i="19"/>
  <c r="L77" i="19" s="1"/>
  <c r="K75" i="19"/>
  <c r="J75" i="19"/>
  <c r="I75" i="19"/>
  <c r="H75" i="19"/>
  <c r="G75" i="19"/>
  <c r="F75" i="19"/>
  <c r="E75" i="19"/>
  <c r="D75" i="19"/>
  <c r="C75" i="19"/>
  <c r="C61" i="19"/>
  <c r="C59" i="19"/>
  <c r="C58" i="19"/>
  <c r="C57" i="19"/>
  <c r="C56" i="19"/>
  <c r="C55" i="19"/>
  <c r="C54" i="19"/>
  <c r="C53" i="19"/>
  <c r="C52" i="19"/>
  <c r="C51" i="19"/>
  <c r="C50" i="19"/>
  <c r="C49" i="19"/>
  <c r="C48" i="19"/>
  <c r="C44" i="19"/>
  <c r="C43" i="19"/>
  <c r="C42" i="19"/>
  <c r="C41" i="19"/>
  <c r="C40" i="19"/>
  <c r="C39" i="19"/>
  <c r="C38" i="19"/>
  <c r="C37" i="19"/>
  <c r="C36" i="19"/>
  <c r="C35" i="19"/>
  <c r="BS33" i="19"/>
  <c r="BQ33" i="19"/>
  <c r="BO33" i="19"/>
  <c r="BM33" i="19"/>
  <c r="BK33" i="19"/>
  <c r="BI33" i="19"/>
  <c r="BG33" i="19"/>
  <c r="BE33" i="19"/>
  <c r="BC33" i="19"/>
  <c r="AY33" i="19"/>
  <c r="AW33" i="19"/>
  <c r="AB16" i="19"/>
  <c r="AA16" i="19"/>
  <c r="Z16" i="19"/>
  <c r="Y16" i="19"/>
  <c r="X16" i="19"/>
  <c r="W16" i="19"/>
  <c r="T16" i="19"/>
  <c r="S16" i="19"/>
  <c r="R16" i="19"/>
  <c r="D40" i="46"/>
  <c r="E40" i="46" s="1"/>
  <c r="D15" i="46"/>
  <c r="E15" i="46" s="1"/>
  <c r="D16" i="46"/>
  <c r="E16" i="46" s="1"/>
  <c r="A56" i="46"/>
  <c r="A52" i="46"/>
  <c r="A50" i="46"/>
  <c r="G48" i="46"/>
  <c r="F48" i="46"/>
  <c r="B44" i="46"/>
  <c r="G44" i="46"/>
  <c r="F44" i="46"/>
  <c r="D43" i="46"/>
  <c r="E43" i="46" s="1"/>
  <c r="D39" i="46"/>
  <c r="E39" i="46" s="1"/>
  <c r="D38" i="46"/>
  <c r="E38" i="46" s="1"/>
  <c r="A38" i="46"/>
  <c r="D36" i="46"/>
  <c r="D34" i="46"/>
  <c r="D33" i="46"/>
  <c r="E33" i="46" s="1"/>
  <c r="A32" i="46"/>
  <c r="D29" i="46"/>
  <c r="G28" i="46"/>
  <c r="F28" i="46"/>
  <c r="B23" i="46"/>
  <c r="G23" i="46"/>
  <c r="F23" i="46"/>
  <c r="D22" i="46"/>
  <c r="E22" i="46" s="1"/>
  <c r="D20" i="46"/>
  <c r="G19" i="46"/>
  <c r="F19" i="46"/>
  <c r="D17" i="46"/>
  <c r="E17" i="46" s="1"/>
  <c r="G16" i="46"/>
  <c r="G12" i="46" s="1"/>
  <c r="F16" i="46"/>
  <c r="F15" i="46"/>
  <c r="D14" i="46"/>
  <c r="E14" i="46" s="1"/>
  <c r="D13" i="46"/>
  <c r="B8" i="46"/>
  <c r="D9" i="46"/>
  <c r="G8" i="46"/>
  <c r="F8" i="46"/>
  <c r="D9" i="45"/>
  <c r="Q16" i="19" s="1"/>
  <c r="G88" i="45"/>
  <c r="F88" i="45"/>
  <c r="E88" i="45"/>
  <c r="D88" i="45"/>
  <c r="AG59" i="45"/>
  <c r="AG73" i="45" s="1"/>
  <c r="G26" i="45"/>
  <c r="F26" i="45"/>
  <c r="E26" i="45"/>
  <c r="D26" i="45"/>
  <c r="G24" i="45"/>
  <c r="G89" i="45" s="1"/>
  <c r="F24" i="45"/>
  <c r="E24" i="45"/>
  <c r="D24" i="45"/>
  <c r="G17" i="45"/>
  <c r="F17" i="45"/>
  <c r="E17" i="45"/>
  <c r="AG7" i="45" s="1"/>
  <c r="P87" i="45"/>
  <c r="P86" i="45"/>
  <c r="P81" i="45"/>
  <c r="U81" i="45" s="1"/>
  <c r="V81" i="45" s="1"/>
  <c r="P79" i="45"/>
  <c r="U79" i="45" s="1"/>
  <c r="V79" i="45" s="1"/>
  <c r="P78" i="45"/>
  <c r="U78" i="45" s="1"/>
  <c r="V78" i="45" s="1"/>
  <c r="P76" i="45"/>
  <c r="U76" i="45" s="1"/>
  <c r="V76" i="45" s="1"/>
  <c r="P74" i="45"/>
  <c r="U74" i="45" s="1"/>
  <c r="V74" i="45" s="1"/>
  <c r="P56" i="45"/>
  <c r="U56" i="45" s="1"/>
  <c r="V56" i="45" s="1"/>
  <c r="P39" i="45"/>
  <c r="U39" i="45" s="1"/>
  <c r="V39" i="45" s="1"/>
  <c r="P51" i="45"/>
  <c r="U51" i="45" s="1"/>
  <c r="V51" i="45" s="1"/>
  <c r="P50" i="45"/>
  <c r="U50" i="45" s="1"/>
  <c r="V50" i="45" s="1"/>
  <c r="P53" i="45"/>
  <c r="U53" i="45" s="1"/>
  <c r="V53" i="45" s="1"/>
  <c r="P37" i="45"/>
  <c r="U37" i="45" s="1"/>
  <c r="V37" i="45" s="1"/>
  <c r="P42" i="45"/>
  <c r="U42" i="45" s="1"/>
  <c r="V42" i="45" s="1"/>
  <c r="P38" i="45"/>
  <c r="U38" i="45" s="1"/>
  <c r="V38" i="45" s="1"/>
  <c r="P44" i="45"/>
  <c r="U44" i="45" s="1"/>
  <c r="V44" i="45" s="1"/>
  <c r="P54" i="45"/>
  <c r="U54" i="45" s="1"/>
  <c r="V54" i="45" s="1"/>
  <c r="P49" i="45"/>
  <c r="U49" i="45" s="1"/>
  <c r="V49" i="45" s="1"/>
  <c r="P47" i="45"/>
  <c r="U47" i="45" s="1"/>
  <c r="V47" i="45" s="1"/>
  <c r="P40" i="45"/>
  <c r="U40" i="45" s="1"/>
  <c r="V40" i="45" s="1"/>
  <c r="P36" i="45"/>
  <c r="P58" i="45"/>
  <c r="U58" i="45" s="1"/>
  <c r="V58" i="45" s="1"/>
  <c r="P41" i="45"/>
  <c r="U41" i="45" s="1"/>
  <c r="V41" i="45" s="1"/>
  <c r="P43" i="45"/>
  <c r="U43" i="45" s="1"/>
  <c r="V43" i="45" s="1"/>
  <c r="P55" i="45"/>
  <c r="U55" i="45" s="1"/>
  <c r="V55" i="45" s="1"/>
  <c r="P48" i="45"/>
  <c r="U48" i="45" s="1"/>
  <c r="V48" i="45" s="1"/>
  <c r="P52" i="45"/>
  <c r="U52" i="45" s="1"/>
  <c r="V52" i="45" s="1"/>
  <c r="P46" i="45"/>
  <c r="U46" i="45" s="1"/>
  <c r="V46" i="45" s="1"/>
  <c r="P45" i="45"/>
  <c r="U45" i="45" s="1"/>
  <c r="V45" i="45" s="1"/>
  <c r="P57" i="45"/>
  <c r="U57" i="45" s="1"/>
  <c r="V57" i="45" s="1"/>
  <c r="P34" i="45"/>
  <c r="P33" i="45"/>
  <c r="P32" i="45"/>
  <c r="P31" i="45"/>
  <c r="P30" i="45"/>
  <c r="P29" i="45"/>
  <c r="P28" i="45"/>
  <c r="P27" i="45"/>
  <c r="P25" i="45"/>
  <c r="P23" i="45"/>
  <c r="P21" i="45"/>
  <c r="P20" i="45"/>
  <c r="P19" i="45"/>
  <c r="P16" i="45"/>
  <c r="P15" i="45"/>
  <c r="P14" i="45"/>
  <c r="P13" i="45"/>
  <c r="P12" i="45"/>
  <c r="P11" i="45"/>
  <c r="P8" i="45"/>
  <c r="P7" i="45"/>
  <c r="P6" i="45"/>
  <c r="H77" i="19" l="1"/>
  <c r="AC16" i="19"/>
  <c r="E77" i="19"/>
  <c r="I77" i="19"/>
  <c r="M77" i="19"/>
  <c r="D19" i="46"/>
  <c r="G90" i="45"/>
  <c r="F89" i="45"/>
  <c r="F90" i="45" s="1"/>
  <c r="F77" i="19"/>
  <c r="J77" i="19"/>
  <c r="N77" i="19"/>
  <c r="G77" i="19"/>
  <c r="K77" i="19"/>
  <c r="P9" i="45"/>
  <c r="U36" i="45"/>
  <c r="P72" i="45"/>
  <c r="D17" i="45"/>
  <c r="P35" i="45"/>
  <c r="E89" i="45"/>
  <c r="E90" i="45" s="1"/>
  <c r="C77" i="19"/>
  <c r="O75" i="19"/>
  <c r="B28" i="46"/>
  <c r="O68" i="19" s="1"/>
  <c r="D76" i="19"/>
  <c r="AG76" i="19" s="1"/>
  <c r="P73" i="45"/>
  <c r="F12" i="46"/>
  <c r="F25" i="46" s="1"/>
  <c r="F46" i="46"/>
  <c r="F57" i="46" s="1"/>
  <c r="G46" i="46"/>
  <c r="G57" i="46" s="1"/>
  <c r="B42" i="46"/>
  <c r="O69" i="19" s="1"/>
  <c r="G25" i="46"/>
  <c r="E23" i="46"/>
  <c r="D31" i="46"/>
  <c r="E31" i="46" s="1"/>
  <c r="E20" i="46"/>
  <c r="B12" i="46"/>
  <c r="E34" i="46"/>
  <c r="D41" i="46"/>
  <c r="E41" i="46" s="1"/>
  <c r="E18" i="46"/>
  <c r="E36" i="46"/>
  <c r="E44" i="46"/>
  <c r="D45" i="46"/>
  <c r="D44" i="46" s="1"/>
  <c r="D49" i="46"/>
  <c r="E49" i="46" s="1"/>
  <c r="D10" i="46"/>
  <c r="E10" i="46" s="1"/>
  <c r="D18" i="46"/>
  <c r="D30" i="46"/>
  <c r="E30" i="46" s="1"/>
  <c r="E11" i="46"/>
  <c r="D32" i="46"/>
  <c r="E32" i="46" s="1"/>
  <c r="E29" i="46"/>
  <c r="D12" i="46"/>
  <c r="E13" i="46"/>
  <c r="D11" i="46"/>
  <c r="D24" i="46"/>
  <c r="B48" i="46"/>
  <c r="E9" i="46"/>
  <c r="D89" i="45"/>
  <c r="D90" i="45" s="1"/>
  <c r="D85" i="45"/>
  <c r="E85" i="45"/>
  <c r="F85" i="45"/>
  <c r="G85" i="45"/>
  <c r="C20" i="19"/>
  <c r="U73" i="45" l="1"/>
  <c r="V36" i="45"/>
  <c r="U72" i="45"/>
  <c r="O76" i="19"/>
  <c r="O77" i="19" s="1"/>
  <c r="D77" i="19"/>
  <c r="B25" i="46"/>
  <c r="D42" i="46"/>
  <c r="E28" i="46"/>
  <c r="D28" i="46"/>
  <c r="E42" i="46"/>
  <c r="E12" i="46"/>
  <c r="E45" i="46"/>
  <c r="E8" i="46"/>
  <c r="D8" i="46"/>
  <c r="D48" i="46"/>
  <c r="E24" i="46"/>
  <c r="D23" i="46"/>
  <c r="E48" i="46"/>
  <c r="E19" i="46"/>
  <c r="B46" i="46"/>
  <c r="C24" i="19"/>
  <c r="O24" i="19" s="1"/>
  <c r="C17" i="19"/>
  <c r="D5" i="19"/>
  <c r="B57" i="46" l="1"/>
  <c r="B58" i="46" s="1"/>
  <c r="O180" i="19"/>
  <c r="O184" i="19" s="1"/>
  <c r="P77" i="19"/>
  <c r="E25" i="46"/>
  <c r="V73" i="45"/>
  <c r="D25" i="46"/>
  <c r="D46" i="46"/>
  <c r="E46" i="46" s="1"/>
  <c r="E57" i="46" l="1"/>
  <c r="D57" i="46"/>
  <c r="J17" i="45" l="1"/>
  <c r="K17" i="45"/>
  <c r="I17" i="45"/>
  <c r="L17" i="45"/>
  <c r="M17" i="45"/>
  <c r="N17" i="45"/>
  <c r="O17" i="45"/>
  <c r="H24" i="45"/>
  <c r="I24" i="45"/>
  <c r="J24" i="45"/>
  <c r="K24" i="45"/>
  <c r="L24" i="45"/>
  <c r="M24" i="45"/>
  <c r="N24" i="45"/>
  <c r="O24" i="45"/>
  <c r="H26" i="45"/>
  <c r="I26" i="45"/>
  <c r="J26" i="45"/>
  <c r="K26" i="45"/>
  <c r="L26" i="45"/>
  <c r="M26" i="45"/>
  <c r="N26" i="45"/>
  <c r="O26" i="45"/>
  <c r="P75" i="45"/>
  <c r="P83" i="45"/>
  <c r="U83" i="45" s="1"/>
  <c r="V83" i="45" s="1"/>
  <c r="H88" i="45"/>
  <c r="I88" i="45"/>
  <c r="J88" i="45"/>
  <c r="K88" i="45"/>
  <c r="L88" i="45"/>
  <c r="M88" i="45"/>
  <c r="N88" i="45"/>
  <c r="O88" i="45"/>
  <c r="U75" i="45" l="1"/>
  <c r="L89" i="45"/>
  <c r="L90" i="45" s="1"/>
  <c r="L85" i="45"/>
  <c r="H89" i="45"/>
  <c r="H85" i="45"/>
  <c r="O85" i="45"/>
  <c r="O89" i="45"/>
  <c r="O90" i="45" s="1"/>
  <c r="K85" i="45"/>
  <c r="K89" i="45"/>
  <c r="K90" i="45" s="1"/>
  <c r="N85" i="45"/>
  <c r="N89" i="45"/>
  <c r="N90" i="45" s="1"/>
  <c r="J85" i="45"/>
  <c r="J89" i="45"/>
  <c r="J90" i="45" s="1"/>
  <c r="M89" i="45"/>
  <c r="M90" i="45" s="1"/>
  <c r="M85" i="45"/>
  <c r="I89" i="45"/>
  <c r="I90" i="45" s="1"/>
  <c r="I85" i="45"/>
  <c r="P80" i="45"/>
  <c r="U80" i="45" s="1"/>
  <c r="V80" i="45" s="1"/>
  <c r="P77" i="45"/>
  <c r="U77" i="45" s="1"/>
  <c r="V77" i="45" s="1"/>
  <c r="H17" i="45"/>
  <c r="P84" i="45" l="1"/>
  <c r="V75" i="45"/>
  <c r="U84" i="45"/>
  <c r="H90" i="45"/>
  <c r="U86" i="45"/>
  <c r="R74" i="45"/>
  <c r="S74" i="45" s="1"/>
  <c r="C73" i="45"/>
  <c r="C84" i="45" s="1"/>
  <c r="R37" i="45"/>
  <c r="S37" i="45" s="1"/>
  <c r="R42" i="45"/>
  <c r="S42" i="45" s="1"/>
  <c r="C47" i="45"/>
  <c r="C40" i="45"/>
  <c r="C36" i="45"/>
  <c r="C58" i="45"/>
  <c r="C41" i="45"/>
  <c r="C43" i="45"/>
  <c r="C59" i="45"/>
  <c r="C55" i="45"/>
  <c r="C48" i="45"/>
  <c r="C52" i="45"/>
  <c r="C46" i="45"/>
  <c r="C45" i="45"/>
  <c r="C57" i="45"/>
  <c r="T34" i="45"/>
  <c r="U34" i="45"/>
  <c r="C34" i="45"/>
  <c r="T33" i="45"/>
  <c r="U33" i="45"/>
  <c r="C33" i="45"/>
  <c r="T32" i="45"/>
  <c r="U32" i="45"/>
  <c r="C32" i="45"/>
  <c r="R32" i="45" s="1"/>
  <c r="S32" i="45" s="1"/>
  <c r="T31" i="45"/>
  <c r="U31" i="45"/>
  <c r="C31" i="45"/>
  <c r="T30" i="45"/>
  <c r="U30" i="45"/>
  <c r="C30" i="45"/>
  <c r="T29" i="45"/>
  <c r="C29" i="45"/>
  <c r="T28" i="45"/>
  <c r="U28" i="45"/>
  <c r="C28" i="45"/>
  <c r="T27" i="45"/>
  <c r="C27" i="45"/>
  <c r="B26" i="45"/>
  <c r="T26" i="45" s="1"/>
  <c r="T25" i="45"/>
  <c r="P26" i="45"/>
  <c r="C25" i="45"/>
  <c r="T23" i="45"/>
  <c r="U23" i="45"/>
  <c r="C23" i="45"/>
  <c r="T21" i="45"/>
  <c r="C21" i="45"/>
  <c r="T20" i="45"/>
  <c r="C20" i="45"/>
  <c r="T19" i="45"/>
  <c r="U19" i="45"/>
  <c r="C19" i="45"/>
  <c r="W18" i="45"/>
  <c r="T18" i="45"/>
  <c r="P18" i="45"/>
  <c r="U18" i="45" s="1"/>
  <c r="B17" i="45"/>
  <c r="T17" i="45" s="1"/>
  <c r="W16" i="45"/>
  <c r="T16" i="45"/>
  <c r="W15" i="45"/>
  <c r="T15" i="45"/>
  <c r="U15" i="45"/>
  <c r="W14" i="45"/>
  <c r="T14" i="45"/>
  <c r="R14" i="45"/>
  <c r="W13" i="45"/>
  <c r="T13" i="45"/>
  <c r="R13" i="45"/>
  <c r="W12" i="45"/>
  <c r="T12" i="45"/>
  <c r="U12" i="45"/>
  <c r="C12" i="45"/>
  <c r="W11" i="45"/>
  <c r="T11" i="45"/>
  <c r="U11" i="45"/>
  <c r="C11" i="45"/>
  <c r="W9" i="45"/>
  <c r="T9" i="45"/>
  <c r="U9" i="45"/>
  <c r="C9" i="45"/>
  <c r="R9" i="45" s="1"/>
  <c r="T8" i="45"/>
  <c r="U8" i="45"/>
  <c r="C8" i="45"/>
  <c r="T7" i="45"/>
  <c r="U7" i="45"/>
  <c r="C7" i="45"/>
  <c r="T6" i="45"/>
  <c r="U6" i="45"/>
  <c r="C6" i="45"/>
  <c r="V5" i="45"/>
  <c r="U5" i="45"/>
  <c r="C72" i="45" l="1"/>
  <c r="R59" i="45"/>
  <c r="S59" i="45" s="1"/>
  <c r="Q59" i="45"/>
  <c r="C24" i="45"/>
  <c r="C35" i="45"/>
  <c r="T35" i="45"/>
  <c r="B85" i="45"/>
  <c r="C17" i="45"/>
  <c r="V23" i="45"/>
  <c r="R52" i="45"/>
  <c r="S52" i="45" s="1"/>
  <c r="V8" i="45"/>
  <c r="U13" i="45"/>
  <c r="R34" i="45"/>
  <c r="S34" i="45" s="1"/>
  <c r="R55" i="45"/>
  <c r="Q58" i="45"/>
  <c r="V6" i="45"/>
  <c r="V7" i="45"/>
  <c r="V19" i="45"/>
  <c r="R25" i="45"/>
  <c r="S25" i="45" s="1"/>
  <c r="V28" i="45"/>
  <c r="R31" i="45"/>
  <c r="S31" i="45" s="1"/>
  <c r="R54" i="45"/>
  <c r="S54" i="45" s="1"/>
  <c r="Q38" i="45"/>
  <c r="R51" i="45"/>
  <c r="S51" i="45" s="1"/>
  <c r="R75" i="45"/>
  <c r="S75" i="45" s="1"/>
  <c r="R79" i="45"/>
  <c r="S79" i="45" s="1"/>
  <c r="R20" i="45"/>
  <c r="S20" i="45" s="1"/>
  <c r="V30" i="45"/>
  <c r="R33" i="45"/>
  <c r="S33" i="45" s="1"/>
  <c r="R48" i="45"/>
  <c r="S48" i="45" s="1"/>
  <c r="R41" i="45"/>
  <c r="S41" i="45" s="1"/>
  <c r="R56" i="45"/>
  <c r="S56" i="45" s="1"/>
  <c r="Q7" i="45"/>
  <c r="Q20" i="45"/>
  <c r="Q55" i="45"/>
  <c r="Q51" i="45"/>
  <c r="P88" i="45"/>
  <c r="R11" i="45"/>
  <c r="Q32" i="45"/>
  <c r="W32" i="45" s="1"/>
  <c r="V34" i="45"/>
  <c r="R47" i="45"/>
  <c r="S47" i="45" s="1"/>
  <c r="R38" i="45"/>
  <c r="S38" i="45" s="1"/>
  <c r="V32" i="45"/>
  <c r="U20" i="45"/>
  <c r="V20" i="45" s="1"/>
  <c r="R23" i="45"/>
  <c r="T24" i="45"/>
  <c r="R43" i="45"/>
  <c r="S43" i="45" s="1"/>
  <c r="R53" i="45"/>
  <c r="Q50" i="45"/>
  <c r="R39" i="45"/>
  <c r="S39" i="45" s="1"/>
  <c r="R76" i="45"/>
  <c r="S76" i="45" s="1"/>
  <c r="Q28" i="45"/>
  <c r="R29" i="45"/>
  <c r="S29" i="45" s="1"/>
  <c r="V33" i="45"/>
  <c r="R45" i="45"/>
  <c r="S45" i="45" s="1"/>
  <c r="Q49" i="45"/>
  <c r="R50" i="45"/>
  <c r="S50" i="45" s="1"/>
  <c r="W50" i="45" s="1"/>
  <c r="R7" i="45"/>
  <c r="S7" i="45" s="1"/>
  <c r="R19" i="45"/>
  <c r="S19" i="45" s="1"/>
  <c r="P24" i="45"/>
  <c r="R28" i="45"/>
  <c r="S28" i="45" s="1"/>
  <c r="Q33" i="45"/>
  <c r="Q53" i="45"/>
  <c r="R81" i="45"/>
  <c r="R8" i="45"/>
  <c r="S8" i="45" s="1"/>
  <c r="R30" i="45"/>
  <c r="S30" i="45" s="1"/>
  <c r="V31" i="45"/>
  <c r="R40" i="45"/>
  <c r="S40" i="45" s="1"/>
  <c r="R49" i="45"/>
  <c r="S49" i="45" s="1"/>
  <c r="R44" i="45"/>
  <c r="S44" i="45" s="1"/>
  <c r="Q42" i="45"/>
  <c r="W42" i="45" s="1"/>
  <c r="R83" i="45"/>
  <c r="S83" i="45" s="1"/>
  <c r="R58" i="45"/>
  <c r="S58" i="45" s="1"/>
  <c r="U26" i="45"/>
  <c r="V26" i="45" s="1"/>
  <c r="Q77" i="45"/>
  <c r="Q8" i="45"/>
  <c r="R12" i="45"/>
  <c r="U14" i="45"/>
  <c r="R15" i="45"/>
  <c r="R18" i="45"/>
  <c r="Q21" i="45"/>
  <c r="U21" i="45"/>
  <c r="V21" i="45" s="1"/>
  <c r="Q27" i="45"/>
  <c r="U27" i="45"/>
  <c r="Q29" i="45"/>
  <c r="U29" i="45"/>
  <c r="V29" i="45" s="1"/>
  <c r="R77" i="45"/>
  <c r="S77" i="45" s="1"/>
  <c r="W77" i="45" s="1"/>
  <c r="Q6" i="45"/>
  <c r="R21" i="45"/>
  <c r="S21" i="45" s="1"/>
  <c r="Q23" i="45"/>
  <c r="Q25" i="45"/>
  <c r="U25" i="45"/>
  <c r="V25" i="45" s="1"/>
  <c r="C26" i="45"/>
  <c r="R26" i="45" s="1"/>
  <c r="S26" i="45" s="1"/>
  <c r="R27" i="45"/>
  <c r="Q30" i="45"/>
  <c r="R46" i="45"/>
  <c r="S46" i="45" s="1"/>
  <c r="Q54" i="45"/>
  <c r="Q37" i="45"/>
  <c r="W37" i="45" s="1"/>
  <c r="Q39" i="45"/>
  <c r="R73" i="45"/>
  <c r="Q75" i="45"/>
  <c r="Q78" i="45"/>
  <c r="R78" i="45"/>
  <c r="S78" i="45" s="1"/>
  <c r="R80" i="45"/>
  <c r="S80" i="45" s="1"/>
  <c r="R57" i="45"/>
  <c r="Q46" i="45"/>
  <c r="Q36" i="45"/>
  <c r="R6" i="45"/>
  <c r="Q19" i="45"/>
  <c r="Q31" i="45"/>
  <c r="R36" i="45"/>
  <c r="Q34" i="45"/>
  <c r="Q45" i="45"/>
  <c r="Q48" i="45"/>
  <c r="Q41" i="45"/>
  <c r="Q47" i="45"/>
  <c r="Q74" i="45"/>
  <c r="W74" i="45" s="1"/>
  <c r="Q79" i="45"/>
  <c r="Q83" i="45"/>
  <c r="Q57" i="45"/>
  <c r="Q52" i="45"/>
  <c r="Q43" i="45"/>
  <c r="Q40" i="45"/>
  <c r="Q44" i="45"/>
  <c r="Q56" i="45"/>
  <c r="Q73" i="45"/>
  <c r="Q76" i="45"/>
  <c r="Q81" i="45"/>
  <c r="S73" i="45" l="1"/>
  <c r="W73" i="45" s="1"/>
  <c r="R84" i="45"/>
  <c r="R72" i="45"/>
  <c r="W59" i="45"/>
  <c r="W43" i="45"/>
  <c r="W49" i="45"/>
  <c r="W47" i="45"/>
  <c r="W78" i="45"/>
  <c r="W58" i="45"/>
  <c r="W45" i="45"/>
  <c r="W41" i="45"/>
  <c r="W44" i="45"/>
  <c r="W39" i="45"/>
  <c r="W38" i="45"/>
  <c r="W48" i="45"/>
  <c r="W79" i="45"/>
  <c r="W46" i="45"/>
  <c r="W40" i="45"/>
  <c r="W56" i="45"/>
  <c r="W51" i="45"/>
  <c r="W76" i="45"/>
  <c r="W75" i="45"/>
  <c r="W83" i="45"/>
  <c r="W54" i="45"/>
  <c r="W52" i="45"/>
  <c r="V27" i="45"/>
  <c r="U35" i="45"/>
  <c r="V35" i="45" s="1"/>
  <c r="T85" i="45"/>
  <c r="B86" i="45"/>
  <c r="S27" i="45"/>
  <c r="W27" i="45" s="1"/>
  <c r="R35" i="45"/>
  <c r="S35" i="45" s="1"/>
  <c r="V72" i="45"/>
  <c r="S36" i="45"/>
  <c r="W36" i="45" s="1"/>
  <c r="W34" i="45"/>
  <c r="C85" i="45"/>
  <c r="U24" i="45"/>
  <c r="V24" i="45" s="1"/>
  <c r="S55" i="45"/>
  <c r="W55" i="45" s="1"/>
  <c r="W20" i="45"/>
  <c r="W33" i="45"/>
  <c r="W7" i="45"/>
  <c r="U88" i="45"/>
  <c r="W31" i="45"/>
  <c r="S81" i="45"/>
  <c r="W81" i="45" s="1"/>
  <c r="S53" i="45"/>
  <c r="W53" i="45" s="1"/>
  <c r="S23" i="45"/>
  <c r="W23" i="45" s="1"/>
  <c r="W25" i="45"/>
  <c r="Q24" i="45"/>
  <c r="R24" i="45"/>
  <c r="W21" i="45"/>
  <c r="W30" i="45"/>
  <c r="W29" i="45"/>
  <c r="Q84" i="45"/>
  <c r="W19" i="45"/>
  <c r="W28" i="45"/>
  <c r="W8" i="45"/>
  <c r="R16" i="45"/>
  <c r="R17" i="45" s="1"/>
  <c r="S17" i="45" s="1"/>
  <c r="U16" i="45"/>
  <c r="Q26" i="45"/>
  <c r="W26" i="45" s="1"/>
  <c r="Q72" i="45"/>
  <c r="S6" i="45"/>
  <c r="W6" i="45" s="1"/>
  <c r="S57" i="45"/>
  <c r="W57" i="45" s="1"/>
  <c r="Q80" i="45"/>
  <c r="W80" i="45" s="1"/>
  <c r="P17" i="45"/>
  <c r="Q35" i="45"/>
  <c r="C86" i="45" l="1"/>
  <c r="B88" i="45"/>
  <c r="T86" i="45"/>
  <c r="V86" i="45" s="1"/>
  <c r="S24" i="45"/>
  <c r="W24" i="45" s="1"/>
  <c r="P85" i="45"/>
  <c r="U85" i="45" s="1"/>
  <c r="V85" i="45" s="1"/>
  <c r="P89" i="45"/>
  <c r="W35" i="45"/>
  <c r="V84" i="45"/>
  <c r="S84" i="45"/>
  <c r="W84" i="45" s="1"/>
  <c r="S72" i="45"/>
  <c r="W72" i="45" s="1"/>
  <c r="U17" i="45"/>
  <c r="V17" i="45" s="1"/>
  <c r="Q17" i="45"/>
  <c r="W17" i="45" s="1"/>
  <c r="C88" i="45" l="1"/>
  <c r="Q86" i="45"/>
  <c r="R86" i="45"/>
  <c r="S86" i="45" s="1"/>
  <c r="T88" i="45"/>
  <c r="V88" i="45" s="1"/>
  <c r="B89" i="45"/>
  <c r="P90" i="45"/>
  <c r="U89" i="45"/>
  <c r="R85" i="45"/>
  <c r="S85" i="45" s="1"/>
  <c r="Q85" i="45"/>
  <c r="W86" i="45" l="1"/>
  <c r="T89" i="45"/>
  <c r="V89" i="45" s="1"/>
  <c r="B90" i="45"/>
  <c r="C89" i="45"/>
  <c r="R88" i="45"/>
  <c r="S88" i="45" s="1"/>
  <c r="Q88" i="45"/>
  <c r="U90" i="45"/>
  <c r="W85" i="45"/>
  <c r="W88" i="45" l="1"/>
  <c r="C90" i="45"/>
  <c r="Q89" i="45"/>
  <c r="R89" i="45"/>
  <c r="S89" i="45" s="1"/>
  <c r="W89" i="45" l="1"/>
  <c r="N34" i="19"/>
  <c r="BT33" i="19" s="1"/>
  <c r="F252" i="26" l="1"/>
  <c r="F249" i="26"/>
  <c r="A247" i="26"/>
  <c r="E244" i="26"/>
  <c r="E242" i="26"/>
  <c r="D236" i="26" s="1"/>
  <c r="F263" i="26" l="1"/>
  <c r="D244" i="26"/>
  <c r="E245" i="26" s="1"/>
  <c r="AC17" i="19" l="1"/>
  <c r="AD17" i="19" l="1"/>
  <c r="M27" i="38" l="1"/>
  <c r="O40" i="19"/>
  <c r="O44" i="19"/>
  <c r="O53" i="19"/>
  <c r="O61" i="19"/>
  <c r="B16" i="38"/>
  <c r="B5" i="38"/>
  <c r="B29" i="38" s="1"/>
  <c r="O18" i="19"/>
  <c r="O20" i="19"/>
  <c r="O17" i="19"/>
  <c r="O21" i="19"/>
  <c r="O19" i="19"/>
  <c r="O31" i="19"/>
  <c r="O32" i="19"/>
  <c r="AQ63" i="19"/>
  <c r="O29" i="19"/>
  <c r="O10" i="19"/>
  <c r="O41" i="19"/>
  <c r="O54" i="19"/>
  <c r="E77" i="29"/>
  <c r="D77" i="29"/>
  <c r="D73" i="29"/>
  <c r="E71" i="29"/>
  <c r="D71" i="29"/>
  <c r="C71" i="29"/>
  <c r="G70" i="29"/>
  <c r="E70" i="29"/>
  <c r="D70" i="29"/>
  <c r="C70" i="29"/>
  <c r="C74" i="29"/>
  <c r="D65" i="29"/>
  <c r="E65" i="29"/>
  <c r="E63" i="29"/>
  <c r="D63" i="29"/>
  <c r="E62" i="29"/>
  <c r="D62" i="29"/>
  <c r="C62" i="29"/>
  <c r="B62" i="29"/>
  <c r="D61" i="29"/>
  <c r="D60" i="29"/>
  <c r="D59" i="29"/>
  <c r="C59" i="29"/>
  <c r="D58" i="29"/>
  <c r="D57" i="29"/>
  <c r="C57" i="29"/>
  <c r="C47" i="29"/>
  <c r="D56" i="29"/>
  <c r="D55" i="29"/>
  <c r="D54" i="29"/>
  <c r="E53" i="29"/>
  <c r="D53" i="29"/>
  <c r="E52" i="29"/>
  <c r="D52" i="29"/>
  <c r="D51" i="29"/>
  <c r="E50" i="29"/>
  <c r="D50" i="29"/>
  <c r="E49" i="29"/>
  <c r="D49" i="29"/>
  <c r="E48" i="29"/>
  <c r="D48" i="29"/>
  <c r="D47" i="29"/>
  <c r="B47" i="29"/>
  <c r="B67" i="29"/>
  <c r="E40" i="29"/>
  <c r="D40" i="29"/>
  <c r="D39" i="29"/>
  <c r="C39" i="29"/>
  <c r="B39" i="29"/>
  <c r="E39" i="29"/>
  <c r="C37" i="29"/>
  <c r="D37" i="29"/>
  <c r="B37" i="29"/>
  <c r="E37" i="29"/>
  <c r="D36" i="29"/>
  <c r="E36" i="29"/>
  <c r="C35" i="29"/>
  <c r="B35" i="29"/>
  <c r="D35" i="29"/>
  <c r="E35" i="29"/>
  <c r="E34" i="29"/>
  <c r="D34" i="29"/>
  <c r="D33" i="29"/>
  <c r="D41" i="29"/>
  <c r="B33" i="29"/>
  <c r="B41" i="29"/>
  <c r="B30" i="29"/>
  <c r="D29" i="29"/>
  <c r="C29" i="29"/>
  <c r="D28" i="29"/>
  <c r="E27" i="29"/>
  <c r="C27" i="29"/>
  <c r="B27" i="29"/>
  <c r="D27" i="29"/>
  <c r="E25" i="29"/>
  <c r="D25" i="29"/>
  <c r="D24" i="29"/>
  <c r="E24" i="29"/>
  <c r="E23" i="29"/>
  <c r="D23" i="29"/>
  <c r="D22" i="29"/>
  <c r="E22" i="29"/>
  <c r="E21" i="29"/>
  <c r="D21" i="29"/>
  <c r="D20" i="29"/>
  <c r="E20" i="29"/>
  <c r="E19" i="29"/>
  <c r="D19" i="29"/>
  <c r="D18" i="29"/>
  <c r="E18" i="29"/>
  <c r="E17" i="29"/>
  <c r="D17" i="29"/>
  <c r="D16" i="29"/>
  <c r="E16" i="29"/>
  <c r="E15" i="29"/>
  <c r="D15" i="29"/>
  <c r="D14" i="29"/>
  <c r="C14" i="29"/>
  <c r="B14" i="29"/>
  <c r="E14" i="29"/>
  <c r="E12" i="29"/>
  <c r="D12" i="29"/>
  <c r="E11" i="29"/>
  <c r="D11" i="29"/>
  <c r="C10" i="29"/>
  <c r="D10" i="29"/>
  <c r="B10" i="29"/>
  <c r="E10" i="29"/>
  <c r="D9" i="29"/>
  <c r="E9" i="29"/>
  <c r="E8" i="29"/>
  <c r="D8" i="29"/>
  <c r="C7" i="29"/>
  <c r="C30" i="29"/>
  <c r="B7" i="29"/>
  <c r="E7" i="29"/>
  <c r="C67" i="29"/>
  <c r="C75" i="29"/>
  <c r="C66" i="29"/>
  <c r="E47" i="29"/>
  <c r="D67" i="29"/>
  <c r="E41" i="29"/>
  <c r="C43" i="29"/>
  <c r="E30" i="29"/>
  <c r="C33" i="29"/>
  <c r="C41" i="29"/>
  <c r="B43" i="29"/>
  <c r="E43" i="29"/>
  <c r="B66" i="29"/>
  <c r="D7" i="29"/>
  <c r="D43" i="29"/>
  <c r="D30" i="29"/>
  <c r="E66" i="29"/>
  <c r="D66" i="29"/>
  <c r="E67" i="29"/>
  <c r="C87" i="29"/>
  <c r="B72" i="29"/>
  <c r="D72" i="29"/>
  <c r="B74" i="29"/>
  <c r="E74" i="29"/>
  <c r="B75" i="29"/>
  <c r="E72" i="29"/>
  <c r="D74" i="29"/>
  <c r="L74" i="25"/>
  <c r="L73" i="25"/>
  <c r="L72" i="25"/>
  <c r="L71" i="25"/>
  <c r="L70" i="25"/>
  <c r="M69" i="25"/>
  <c r="L69" i="25"/>
  <c r="N69" i="25"/>
  <c r="I69" i="25"/>
  <c r="N68" i="25"/>
  <c r="M68" i="25"/>
  <c r="O68" i="25"/>
  <c r="I68" i="25"/>
  <c r="N67" i="25"/>
  <c r="M67" i="25"/>
  <c r="O67" i="25"/>
  <c r="I67" i="25"/>
  <c r="N66" i="25"/>
  <c r="M66" i="25"/>
  <c r="O66" i="25"/>
  <c r="I66" i="25"/>
  <c r="L63" i="25"/>
  <c r="L62" i="25"/>
  <c r="O61" i="25"/>
  <c r="N61" i="25"/>
  <c r="M61" i="25"/>
  <c r="J61" i="25"/>
  <c r="I61" i="25"/>
  <c r="L60" i="25"/>
  <c r="N60" i="25"/>
  <c r="I60" i="25"/>
  <c r="F60" i="25"/>
  <c r="M60" i="25"/>
  <c r="N58" i="25"/>
  <c r="M58" i="25"/>
  <c r="O58" i="25"/>
  <c r="I58" i="25"/>
  <c r="N56" i="25"/>
  <c r="M56" i="25"/>
  <c r="O56" i="25"/>
  <c r="L56" i="25"/>
  <c r="I56" i="25"/>
  <c r="L54" i="25"/>
  <c r="N51" i="25"/>
  <c r="I51" i="25"/>
  <c r="F51" i="25"/>
  <c r="M51" i="25"/>
  <c r="O51" i="25"/>
  <c r="J46" i="25"/>
  <c r="N44" i="25"/>
  <c r="M44" i="25"/>
  <c r="O44" i="25"/>
  <c r="J44" i="25"/>
  <c r="I44" i="25"/>
  <c r="E44" i="25"/>
  <c r="O43" i="25"/>
  <c r="M43" i="25"/>
  <c r="I43" i="25"/>
  <c r="O31" i="25"/>
  <c r="N31" i="25"/>
  <c r="M31" i="25"/>
  <c r="F31" i="25"/>
  <c r="L25" i="25"/>
  <c r="N24" i="25"/>
  <c r="J25" i="25"/>
  <c r="M24" i="25"/>
  <c r="O24" i="25"/>
  <c r="I24" i="25"/>
  <c r="E24" i="25"/>
  <c r="L22" i="25"/>
  <c r="L21" i="25"/>
  <c r="N17" i="25"/>
  <c r="O17" i="25"/>
  <c r="M17" i="25"/>
  <c r="I17" i="25"/>
  <c r="L16" i="25"/>
  <c r="L15" i="25"/>
  <c r="N11" i="25"/>
  <c r="L13" i="25"/>
  <c r="J13" i="25"/>
  <c r="J12" i="25"/>
  <c r="M11" i="25"/>
  <c r="O11" i="25"/>
  <c r="I11" i="25"/>
  <c r="D75" i="29"/>
  <c r="D79" i="29"/>
  <c r="E75" i="29"/>
  <c r="B87" i="29"/>
  <c r="O60" i="25"/>
  <c r="G11" i="20"/>
  <c r="G10" i="20"/>
  <c r="G7" i="20"/>
  <c r="C74" i="20"/>
  <c r="C71" i="20"/>
  <c r="C70" i="20"/>
  <c r="C62" i="20"/>
  <c r="C59" i="20"/>
  <c r="C57" i="20"/>
  <c r="C47" i="20"/>
  <c r="C66" i="20"/>
  <c r="C39" i="20"/>
  <c r="C37" i="20"/>
  <c r="C33" i="20"/>
  <c r="C41" i="20"/>
  <c r="C35" i="20"/>
  <c r="C29" i="20"/>
  <c r="C27" i="20"/>
  <c r="C14" i="20"/>
  <c r="C10" i="20"/>
  <c r="C7" i="20"/>
  <c r="C30" i="20"/>
  <c r="C43" i="20"/>
  <c r="B62" i="20"/>
  <c r="B67" i="20"/>
  <c r="B47" i="20"/>
  <c r="B39" i="20"/>
  <c r="B37" i="20"/>
  <c r="B35" i="20"/>
  <c r="B33" i="20"/>
  <c r="B41" i="20"/>
  <c r="B27" i="20"/>
  <c r="B14" i="20"/>
  <c r="B10" i="20"/>
  <c r="B7" i="20"/>
  <c r="B30" i="20"/>
  <c r="B43" i="20"/>
  <c r="C67" i="20"/>
  <c r="C75" i="20"/>
  <c r="B66" i="20"/>
  <c r="D66" i="20"/>
  <c r="D61" i="20"/>
  <c r="D27" i="20"/>
  <c r="E10" i="20"/>
  <c r="D70" i="20"/>
  <c r="E70" i="20"/>
  <c r="E7" i="19"/>
  <c r="D71" i="20"/>
  <c r="E71" i="20"/>
  <c r="D40" i="20"/>
  <c r="D29" i="20"/>
  <c r="D9" i="20"/>
  <c r="E9" i="20"/>
  <c r="D8" i="20"/>
  <c r="E8" i="20"/>
  <c r="D12" i="20"/>
  <c r="D11" i="20"/>
  <c r="D25" i="20"/>
  <c r="D24" i="20"/>
  <c r="E24" i="20"/>
  <c r="D23" i="20"/>
  <c r="E23" i="20"/>
  <c r="D22" i="20"/>
  <c r="E22" i="20"/>
  <c r="D21" i="20"/>
  <c r="E21" i="20"/>
  <c r="D20" i="20"/>
  <c r="E20" i="20"/>
  <c r="D19" i="20"/>
  <c r="E19" i="20"/>
  <c r="D18" i="20"/>
  <c r="E18" i="20"/>
  <c r="D16" i="20"/>
  <c r="E16" i="20"/>
  <c r="D15" i="20"/>
  <c r="E15" i="20"/>
  <c r="D17" i="20"/>
  <c r="E17" i="20"/>
  <c r="D59" i="20"/>
  <c r="D56" i="20"/>
  <c r="E14" i="20"/>
  <c r="D34" i="19"/>
  <c r="AY32" i="19" s="1"/>
  <c r="O9" i="19"/>
  <c r="O8" i="19"/>
  <c r="C34" i="19"/>
  <c r="N12" i="19"/>
  <c r="M34" i="19"/>
  <c r="D77" i="20"/>
  <c r="E37" i="20"/>
  <c r="O33" i="19"/>
  <c r="O79" i="19" s="1"/>
  <c r="P79" i="19" s="1"/>
  <c r="O30" i="19"/>
  <c r="O28" i="19"/>
  <c r="J12" i="19"/>
  <c r="O14" i="19"/>
  <c r="J34" i="19"/>
  <c r="I12" i="19"/>
  <c r="I34" i="19"/>
  <c r="I7" i="19"/>
  <c r="H12" i="19"/>
  <c r="D55" i="20"/>
  <c r="E40" i="20"/>
  <c r="J7" i="19"/>
  <c r="H7" i="19"/>
  <c r="N7" i="19"/>
  <c r="M7" i="19"/>
  <c r="L7" i="19"/>
  <c r="K7" i="19"/>
  <c r="O13" i="19"/>
  <c r="K34" i="19"/>
  <c r="E5" i="19"/>
  <c r="F5" i="19" s="1"/>
  <c r="G5" i="19" s="1"/>
  <c r="H5" i="19" s="1"/>
  <c r="I5" i="19" s="1"/>
  <c r="J5" i="19" s="1"/>
  <c r="K5" i="19" s="1"/>
  <c r="L5" i="19" s="1"/>
  <c r="M5" i="19" s="1"/>
  <c r="N5" i="19" s="1"/>
  <c r="C7" i="19"/>
  <c r="D65" i="20"/>
  <c r="E65" i="20"/>
  <c r="D63" i="20"/>
  <c r="E63" i="20"/>
  <c r="D60" i="20"/>
  <c r="D58" i="20"/>
  <c r="D54" i="20"/>
  <c r="E53" i="20"/>
  <c r="D53" i="20"/>
  <c r="E52" i="20"/>
  <c r="D52" i="20"/>
  <c r="D51" i="20"/>
  <c r="E50" i="20"/>
  <c r="D50" i="20"/>
  <c r="E49" i="20"/>
  <c r="D49" i="20"/>
  <c r="E48" i="20"/>
  <c r="D48" i="20"/>
  <c r="D36" i="20"/>
  <c r="E36" i="20"/>
  <c r="D34" i="20"/>
  <c r="E34" i="20"/>
  <c r="D28" i="20"/>
  <c r="E25" i="20"/>
  <c r="M12" i="19"/>
  <c r="L12" i="19"/>
  <c r="K12" i="19"/>
  <c r="E12" i="20"/>
  <c r="E11" i="20"/>
  <c r="D73" i="20"/>
  <c r="E77" i="20"/>
  <c r="O16" i="19"/>
  <c r="E62" i="20"/>
  <c r="D35" i="20"/>
  <c r="E35" i="20"/>
  <c r="D37" i="20"/>
  <c r="E7" i="20"/>
  <c r="E27" i="20"/>
  <c r="E39" i="20"/>
  <c r="D39" i="20"/>
  <c r="D62" i="20"/>
  <c r="D7" i="20"/>
  <c r="E47" i="20"/>
  <c r="D33" i="20"/>
  <c r="D41" i="20"/>
  <c r="D10" i="20"/>
  <c r="D57" i="20"/>
  <c r="D47" i="20"/>
  <c r="E67" i="20"/>
  <c r="D67" i="20"/>
  <c r="E30" i="20"/>
  <c r="E43" i="20"/>
  <c r="E66" i="20"/>
  <c r="C87" i="20"/>
  <c r="D7" i="19"/>
  <c r="G7" i="19"/>
  <c r="F7" i="19"/>
  <c r="F12" i="19"/>
  <c r="G34" i="19"/>
  <c r="BE32" i="19" s="1"/>
  <c r="G12" i="19"/>
  <c r="E12" i="19"/>
  <c r="C12" i="19"/>
  <c r="F34" i="19"/>
  <c r="BC32" i="19" s="1"/>
  <c r="E34" i="19"/>
  <c r="BA32" i="19" s="1"/>
  <c r="D30" i="20"/>
  <c r="E41" i="20"/>
  <c r="D14" i="20"/>
  <c r="D43" i="20"/>
  <c r="B72" i="20"/>
  <c r="D72" i="20"/>
  <c r="B74" i="20"/>
  <c r="E74" i="20"/>
  <c r="E72" i="20"/>
  <c r="D74" i="20"/>
  <c r="B75" i="20"/>
  <c r="D75" i="20"/>
  <c r="D79" i="20"/>
  <c r="B87" i="20"/>
  <c r="E75" i="20"/>
  <c r="O49" i="19"/>
  <c r="O39" i="19"/>
  <c r="O55" i="19"/>
  <c r="O51" i="19"/>
  <c r="O35" i="19"/>
  <c r="O50" i="19"/>
  <c r="O58" i="19"/>
  <c r="O59" i="19"/>
  <c r="O48" i="19"/>
  <c r="O60" i="19"/>
  <c r="O37" i="19"/>
  <c r="O52" i="19"/>
  <c r="O56" i="19"/>
  <c r="O42" i="19"/>
  <c r="O43" i="19"/>
  <c r="O38" i="19"/>
  <c r="O36" i="19"/>
  <c r="O57" i="19"/>
  <c r="H34" i="19"/>
  <c r="BG32" i="19" s="1"/>
  <c r="H62" i="19" l="1"/>
  <c r="E62" i="19"/>
  <c r="E67" i="19" s="1"/>
  <c r="K62" i="19"/>
  <c r="J62" i="19"/>
  <c r="D12" i="19"/>
  <c r="D62" i="19" s="1"/>
  <c r="O15" i="19"/>
  <c r="O12" i="19" s="1"/>
  <c r="O7" i="19"/>
  <c r="I62" i="19"/>
  <c r="I71" i="19" s="1"/>
  <c r="G62" i="19"/>
  <c r="F62" i="19"/>
  <c r="F67" i="19" s="1"/>
  <c r="C62" i="19"/>
  <c r="C67" i="19" s="1"/>
  <c r="N62" i="19"/>
  <c r="M62" i="19"/>
  <c r="L34" i="19"/>
  <c r="L62" i="19" s="1"/>
  <c r="O34" i="19"/>
  <c r="H71" i="19" l="1"/>
  <c r="H67" i="19"/>
  <c r="G71" i="19"/>
  <c r="G67" i="19"/>
  <c r="C71" i="19"/>
  <c r="M66" i="19"/>
  <c r="M71" i="19"/>
  <c r="K66" i="19"/>
  <c r="K71" i="19"/>
  <c r="N66" i="19"/>
  <c r="N71" i="19"/>
  <c r="J66" i="19"/>
  <c r="J71" i="19"/>
  <c r="L66" i="19"/>
  <c r="L71" i="19"/>
  <c r="F71" i="19"/>
  <c r="E71" i="19"/>
  <c r="D67" i="19"/>
  <c r="D71" i="19"/>
  <c r="O62" i="19"/>
  <c r="O71" i="19" s="1"/>
</calcChain>
</file>

<file path=xl/sharedStrings.xml><?xml version="1.0" encoding="utf-8"?>
<sst xmlns="http://schemas.openxmlformats.org/spreadsheetml/2006/main" count="3478" uniqueCount="1115">
  <si>
    <t>ACTIVO</t>
  </si>
  <si>
    <t>Bancos</t>
  </si>
  <si>
    <t>PROPIEDAD PLANTA Y EQUIPO</t>
  </si>
  <si>
    <t>TOTAL ACTIVO</t>
  </si>
  <si>
    <t>PASIVO</t>
  </si>
  <si>
    <t>CUENTAS POR PAGAR</t>
  </si>
  <si>
    <t>Servicios Públicos</t>
  </si>
  <si>
    <t>TOTAL PASIVO</t>
  </si>
  <si>
    <t>PATRIMONIO</t>
  </si>
  <si>
    <t>TOTAL PASIVO Y PATRIMONIO</t>
  </si>
  <si>
    <t>DESCRIPCION</t>
  </si>
  <si>
    <t>INGRESOS</t>
  </si>
  <si>
    <t>HONORARIOS</t>
  </si>
  <si>
    <t xml:space="preserve">TOTAL </t>
  </si>
  <si>
    <t xml:space="preserve">Sanciones </t>
  </si>
  <si>
    <t>FECHA</t>
  </si>
  <si>
    <t>VALOR</t>
  </si>
  <si>
    <t>%</t>
  </si>
  <si>
    <t>CONJUNTO RESIDENCIAL NOGALES DE LA COLINA P.H.</t>
  </si>
  <si>
    <t>NIT. 830,133,786-2</t>
  </si>
  <si>
    <t>DEPOSITO POR RECAUDO EFEC</t>
  </si>
  <si>
    <t>REFERENCIA</t>
  </si>
  <si>
    <t>CONCILIACION BANCO CAJA SOCIAL</t>
  </si>
  <si>
    <t>CTA CTE No 21500344562</t>
  </si>
  <si>
    <t>Consignaciones por identificar</t>
  </si>
  <si>
    <t>MOVIMIENTOS DEL EFECTIVO</t>
  </si>
  <si>
    <t>SALDO INICIAL</t>
  </si>
  <si>
    <t>Caja</t>
  </si>
  <si>
    <t>Cuenta Corriente Caja Social</t>
  </si>
  <si>
    <t>ACUMULADO</t>
  </si>
  <si>
    <t>Cuota de administracion mes vigente</t>
  </si>
  <si>
    <t>C. administracion vigencia año actual</t>
  </si>
  <si>
    <t>Anticipo cuotas administracion</t>
  </si>
  <si>
    <t>Descuento Cuota administracion</t>
  </si>
  <si>
    <t>Intereses de mora año actual</t>
  </si>
  <si>
    <t xml:space="preserve">Cuotas  parqueadero </t>
  </si>
  <si>
    <t>Cuota uso salon  comunal</t>
  </si>
  <si>
    <t>Ingresos financieros</t>
  </si>
  <si>
    <t>Consignaciones x identificar</t>
  </si>
  <si>
    <t>Recup Intereses de mora años ant</t>
  </si>
  <si>
    <t>Recup parqueadero y otros años ant</t>
  </si>
  <si>
    <t>Recup C administracion años ant</t>
  </si>
  <si>
    <t>CUENTA</t>
  </si>
  <si>
    <t>EGRESOS</t>
  </si>
  <si>
    <t>RETENCION EN LA FUENTE</t>
  </si>
  <si>
    <t>MANT PLANTA ELECTRICA</t>
  </si>
  <si>
    <t>MANT ASCENSORES</t>
  </si>
  <si>
    <t>GASTOS BANCARIOS</t>
  </si>
  <si>
    <t>SALDO EFECTIVO</t>
  </si>
  <si>
    <t>CONJUNTO RESIDENCIAL NOGALES  DE LA COLINA P.H.</t>
  </si>
  <si>
    <t>NIT 830.133.786-2</t>
  </si>
  <si>
    <t>ESTADO DE SITUACION FINANCIERA</t>
  </si>
  <si>
    <t>CIFRAS EN PESOS</t>
  </si>
  <si>
    <t>variacion</t>
  </si>
  <si>
    <t>ACTIVO CORRIENTE</t>
  </si>
  <si>
    <t>EFECTIVO Y EQUIVALENTE</t>
  </si>
  <si>
    <t xml:space="preserve">Caja </t>
  </si>
  <si>
    <t>Bancos Cta Cte</t>
  </si>
  <si>
    <t>EFECTIVO RESTRINGIDO</t>
  </si>
  <si>
    <t>Cuenta de Ahorros</t>
  </si>
  <si>
    <t>Inversiones corto plazo (CDT)</t>
  </si>
  <si>
    <t>CUENTAS POR COBRAR</t>
  </si>
  <si>
    <t>Cuotas de Administración</t>
  </si>
  <si>
    <t>Cuota Extraordinaria</t>
  </si>
  <si>
    <t>Cuotas parqueadero</t>
  </si>
  <si>
    <t>Intereses de Mora</t>
  </si>
  <si>
    <t xml:space="preserve"> Consignacione por identificar</t>
  </si>
  <si>
    <t>PROVISION CUENTAS POR COBRAR</t>
  </si>
  <si>
    <t>OTRAS CUENTAS POR COBRAR</t>
  </si>
  <si>
    <t xml:space="preserve">Reclamaciones Aseguradora </t>
  </si>
  <si>
    <t xml:space="preserve">Anticipos y Avances </t>
  </si>
  <si>
    <t>TOTAL ACTIVO CORRIENTE</t>
  </si>
  <si>
    <t>ACTIVO NO CORRIENTE</t>
  </si>
  <si>
    <t>Maquinaria y Equipo</t>
  </si>
  <si>
    <t>Muebles y enseres</t>
  </si>
  <si>
    <t>Equipo de Computo y comunicaciones</t>
  </si>
  <si>
    <t>DEPRECIACION ACUMULADA</t>
  </si>
  <si>
    <t>OTROS ACTIVOS FINANCIEROS</t>
  </si>
  <si>
    <t>Poliza de Seguros</t>
  </si>
  <si>
    <t>TOTAL ACTIVO NO CORRIENTE</t>
  </si>
  <si>
    <t>PASIVO CORRIENTE</t>
  </si>
  <si>
    <t>Honorarios</t>
  </si>
  <si>
    <t>Retención en la Fuente</t>
  </si>
  <si>
    <t>Servicio Vigilancia</t>
  </si>
  <si>
    <t>Asistente Administrativa</t>
  </si>
  <si>
    <t>Servicio de Aseo</t>
  </si>
  <si>
    <t>Mant Equipos presion- bombas</t>
  </si>
  <si>
    <t>Mant locativos</t>
  </si>
  <si>
    <t>INGRESOS RECIBIDOS POR ANTICIPADO</t>
  </si>
  <si>
    <t>Para honorarios juridicos</t>
  </si>
  <si>
    <t>TOTAL PASIVO CORRIENTE</t>
  </si>
  <si>
    <t>Resultados ejercicios anteriores</t>
  </si>
  <si>
    <t>Maria del Pilar Suarez</t>
  </si>
  <si>
    <t>Nair Yubely Mosquera V.</t>
  </si>
  <si>
    <t>Representante legal</t>
  </si>
  <si>
    <t>Contadora Pública</t>
  </si>
  <si>
    <t>Revisor Fiscal</t>
  </si>
  <si>
    <t>NIT: 830.133.786-2</t>
  </si>
  <si>
    <t>CONCEPTO</t>
  </si>
  <si>
    <t xml:space="preserve">PRESUPUESTO </t>
  </si>
  <si>
    <t>EJECUTADO</t>
  </si>
  <si>
    <t>CUOTAS DE ADMINISTRACION</t>
  </si>
  <si>
    <t xml:space="preserve">INTERESES DE MORA </t>
  </si>
  <si>
    <t>SANCIONES ASAMBLEA</t>
  </si>
  <si>
    <t>DESCUENTOS CUOTAS DE ADMINIST</t>
  </si>
  <si>
    <t>DESCUENTO CONSEJO DE ADMIN</t>
  </si>
  <si>
    <t>TOTAL INGRESOS</t>
  </si>
  <si>
    <t>REVISORIA FISCAL</t>
  </si>
  <si>
    <t>ADMINISTRACION</t>
  </si>
  <si>
    <t>ASESORIA CONTABLE</t>
  </si>
  <si>
    <t>TOTAL HONORARIOS</t>
  </si>
  <si>
    <t>SEGURO COPROPIEDAD</t>
  </si>
  <si>
    <t>TOTAL SEGUROS</t>
  </si>
  <si>
    <t>VIGILANCIA (24 HORAS)</t>
  </si>
  <si>
    <t>ASEO</t>
  </si>
  <si>
    <t>AUX. ADMINISTRACION</t>
  </si>
  <si>
    <t>ARREND SOTFWARE CONTABLE-WEB</t>
  </si>
  <si>
    <t>ACUEDUCTO Y ALCANTARILLADO</t>
  </si>
  <si>
    <t>ENERGIA ELECTRICA</t>
  </si>
  <si>
    <t>TELEFONO</t>
  </si>
  <si>
    <t>GAS</t>
  </si>
  <si>
    <t>TOTAL SERVICIOS</t>
  </si>
  <si>
    <t>REPOSICION DE MATAS</t>
  </si>
  <si>
    <t xml:space="preserve">REPARACION GENERAL BOMBAS </t>
  </si>
  <si>
    <t>REPUESTOS EQ BOMBAS</t>
  </si>
  <si>
    <t>MANT EQ COMPUTO- SOTFWARE</t>
  </si>
  <si>
    <t>REPUESTOS ASCENSORES</t>
  </si>
  <si>
    <t>MANT CITOFONOS- TELEFONOS</t>
  </si>
  <si>
    <t>FUMIGACION</t>
  </si>
  <si>
    <t>MTTO CCTV Y CAMARAS</t>
  </si>
  <si>
    <t>MANT TUBERIA RED GAS</t>
  </si>
  <si>
    <t>TOTAL MANTENIMIENTO Y REP</t>
  </si>
  <si>
    <t>INSTALACIONES ELECTRICAS - BOMBILLOS</t>
  </si>
  <si>
    <t>REPARACIONES LOCATIVAS</t>
  </si>
  <si>
    <t>ELEMENTOS DE ASEO.</t>
  </si>
  <si>
    <t>CAFETERIA</t>
  </si>
  <si>
    <t>UTILES PAPELERIA Y FOTOCOPIAS</t>
  </si>
  <si>
    <t>GASTOS SOCIALES  DE INTEGRACION</t>
  </si>
  <si>
    <t>GASTOS ASAMBLEA</t>
  </si>
  <si>
    <t>TOTAL DIVERSOS</t>
  </si>
  <si>
    <t>SUB TOTAL PRESUPUESTO ORDINARIO</t>
  </si>
  <si>
    <t>FONDO DE IMPREVISTOS</t>
  </si>
  <si>
    <t xml:space="preserve">TOTAL OTROS GASTOS </t>
  </si>
  <si>
    <t>TOTAL GASTOS</t>
  </si>
  <si>
    <t>INGRESOS - EGRESOS</t>
  </si>
  <si>
    <t xml:space="preserve">VALOR </t>
  </si>
  <si>
    <t xml:space="preserve">Ref. 74 oficina parque caldas </t>
  </si>
  <si>
    <t xml:space="preserve">Parquedaro de Visitantes </t>
  </si>
  <si>
    <t xml:space="preserve">Gimnasio </t>
  </si>
  <si>
    <t xml:space="preserve">Gastos Juridicos </t>
  </si>
  <si>
    <t>MANT PARQUE INFANTIL - SALON INFANTIL</t>
  </si>
  <si>
    <t xml:space="preserve">DOTACION ZONAS COMUNALES </t>
  </si>
  <si>
    <t>USO ZONAS COMUNES (Parqueadero)</t>
  </si>
  <si>
    <t>PAGO PSP</t>
  </si>
  <si>
    <t xml:space="preserve">Por identificar </t>
  </si>
  <si>
    <t>Inasistencia asamblea-llave electronica-Otras Cuotas</t>
  </si>
  <si>
    <t xml:space="preserve">TRANSPORTES </t>
  </si>
  <si>
    <t xml:space="preserve">Dayana Pamela Hurtado Portilla </t>
  </si>
  <si>
    <t xml:space="preserve">Colina campestre  6-202 (esta al dia) </t>
  </si>
  <si>
    <t>Otras cuotas</t>
  </si>
  <si>
    <t xml:space="preserve">Mant Planta Electrico </t>
  </si>
  <si>
    <t xml:space="preserve">Sancion Parqueadero visitantes </t>
  </si>
  <si>
    <t xml:space="preserve">Cuota Extraordinaria </t>
  </si>
  <si>
    <t xml:space="preserve">colina Campestre </t>
  </si>
  <si>
    <t xml:space="preserve">  </t>
  </si>
  <si>
    <t>Excedente del Ejercicio</t>
  </si>
  <si>
    <t xml:space="preserve">USO ZONAS COMUNES  (salon) </t>
  </si>
  <si>
    <t>HONORARIOS ASESORIA JURIDICA</t>
  </si>
  <si>
    <t>Colina campestre  904</t>
  </si>
  <si>
    <t>Colina campestre  4-1002</t>
  </si>
  <si>
    <t xml:space="preserve">ABONO REALIZADO POS </t>
  </si>
  <si>
    <t xml:space="preserve">TARJETA DEBITO </t>
  </si>
  <si>
    <t xml:space="preserve">Otras cuentas por pagar </t>
  </si>
  <si>
    <t xml:space="preserve">Elementos de Aseo </t>
  </si>
  <si>
    <t>Fondo De Imprevistos Ley 675</t>
  </si>
  <si>
    <t xml:space="preserve">Fondo De Imprevistos Otros Ingresos </t>
  </si>
  <si>
    <t xml:space="preserve">Intereses cuenta de Control </t>
  </si>
  <si>
    <t>Mant Jardines</t>
  </si>
  <si>
    <t>Cheque Pendiente de Cobro</t>
  </si>
  <si>
    <t>AÑO 2.019</t>
  </si>
  <si>
    <t>Parque Berr referencia 88</t>
  </si>
  <si>
    <t>MANT JARDINES Y ZONAS VERDES</t>
  </si>
  <si>
    <t>LAVADO DESINF TANQUES- FOSOS EYEC</t>
  </si>
  <si>
    <t xml:space="preserve">MTTO PUERTAS  INTERNAS </t>
  </si>
  <si>
    <t>IMPERMEABILIZACIONES - HUMEDADES</t>
  </si>
  <si>
    <t>RECLAMACIONES A TERCEROS</t>
  </si>
  <si>
    <t>SISTEMA DE GESTION DE SEGURIDAD Y SALUD</t>
  </si>
  <si>
    <t xml:space="preserve">Mantenimiento Ascensores y repuestos </t>
  </si>
  <si>
    <t>Of. Chico  Ref 3-503</t>
  </si>
  <si>
    <t>menos</t>
  </si>
  <si>
    <t>ANTICIPOS CUOTAS ADMINISTRACION</t>
  </si>
  <si>
    <t/>
  </si>
  <si>
    <t>COVINET LTDA</t>
  </si>
  <si>
    <t>NIT. 900034614-3</t>
  </si>
  <si>
    <t>MAYO 27 DE 2019</t>
  </si>
  <si>
    <t>CONJUNTO RESIDENCIAL NOGALES DE LA COLINA</t>
  </si>
  <si>
    <t>CLIENTES EN COBRO PREJURIDICO</t>
  </si>
  <si>
    <t>PROPIETARIO</t>
  </si>
  <si>
    <t>APTO</t>
  </si>
  <si>
    <t>FECHAS DEL PAGO</t>
  </si>
  <si>
    <t>VALOR ABONADO</t>
  </si>
  <si>
    <t>APLICADO</t>
  </si>
  <si>
    <t>SALDO</t>
  </si>
  <si>
    <t>SALDO 
TOTAL</t>
  </si>
  <si>
    <t>OBSERVACIONES</t>
  </si>
  <si>
    <t>ENTREGA</t>
  </si>
  <si>
    <t>RECIBIDO</t>
  </si>
  <si>
    <t>ACTUAL</t>
  </si>
  <si>
    <t>ADMON</t>
  </si>
  <si>
    <t xml:space="preserve">IVA </t>
  </si>
  <si>
    <t>COVINET</t>
  </si>
  <si>
    <t xml:space="preserve">DIEGO GERMAN GARCIA </t>
  </si>
  <si>
    <t>2-302</t>
  </si>
  <si>
    <t>DIC.10/2018</t>
  </si>
  <si>
    <t>DIC.20/2018</t>
  </si>
  <si>
    <t>EL SEÑOR DIEGO MANIFIESTA POR MEDIO DE CORREO ELECTRONICO QUE CON SORPRESA VE QUE SE LE ESTAN COBRANDO HONORARIOS, SE LE RESPONDE QUE EL TIENE UN ACUERDO DE PAGO INCLUIDA LOS HONORARIOS Y SE LE SOLICITA EL PAGO PARA ESTAR AL DIA CON EL ACUERDO DE PAGO.</t>
  </si>
  <si>
    <t>DIC.28/2018</t>
  </si>
  <si>
    <t>ENE.31/2019</t>
  </si>
  <si>
    <t>FEB.26/2019</t>
  </si>
  <si>
    <t>MAR.26/2019</t>
  </si>
  <si>
    <t>ABR.30/2019</t>
  </si>
  <si>
    <t>ANDREA RICARDI CHAVARRO</t>
  </si>
  <si>
    <t>2-902</t>
  </si>
  <si>
    <t>NOV.20/2017</t>
  </si>
  <si>
    <t>DIC.10/2017</t>
  </si>
  <si>
    <t>ACUERDO DE PAGO PACTADO EN 3 CUOTAS.
SOLICITA PLAZO PARA CANCELAR SEGUNDA CUOTA EL FIN DE MES</t>
  </si>
  <si>
    <t>FEB.28/2018</t>
  </si>
  <si>
    <t>MAY.03/2018</t>
  </si>
  <si>
    <t>JUN.30/2018</t>
  </si>
  <si>
    <t>AGO.30/2018</t>
  </si>
  <si>
    <t>OCT.18/2018</t>
  </si>
  <si>
    <t>ABR.15/2019</t>
  </si>
  <si>
    <t xml:space="preserve">ROSALBA ROJAS MORENO </t>
  </si>
  <si>
    <t>3-604</t>
  </si>
  <si>
    <t>JUL.17/2018</t>
  </si>
  <si>
    <t>OCT.30/2018</t>
  </si>
  <si>
    <t>ACUERDO DE PAGO INCUMPLIDO POR LOS ARRENDATARIOS. ABONAN $2.000.000 PARA FRENAR EL PROCESO DE DEMANDA Y SE COMPROMETEN A PAGAR EL SALDO A MAS TARDAR EL 31 DE MAYO DE 2019.</t>
  </si>
  <si>
    <t>NOV.02/2018</t>
  </si>
  <si>
    <t>MAR.07/2019</t>
  </si>
  <si>
    <t>ABR.26/2019</t>
  </si>
  <si>
    <t>MARIA MELIDA CARDONA GIRALDO Y/O CLAUDIA MERCEDES ALZATE CARDONA</t>
  </si>
  <si>
    <t>4-102</t>
  </si>
  <si>
    <t>NOV.20/2018</t>
  </si>
  <si>
    <t>CLIENTE DEFINIDO PARA DEMANADA ANALIZANDO DOCUMENTOS PARA VER CUAL ES LA FORMA MAS VIABLE PARA INICIAR EL PROCESO.
SE INFORMA SALDO A LA BENEFICIARIA DEL FIDEICOMISO LA SEÑORA CLAUDIA NO RESPONDE NADA.</t>
  </si>
  <si>
    <t>SANTIAGO PINILLA ROJAS</t>
  </si>
  <si>
    <t>6-102</t>
  </si>
  <si>
    <t>MANDAMIENTO DE PAGO A FAVOR DEL CONJUNTO. EN TRAMITE NOTIFICACIÓN Y OFICIOS DE EMBARGO.
NO HA SIDO POSIBLE ESTABLECER COMUNICACIÓN CON EL SEÑOR SANTIAGO PINILLA ROJAS, SE ESTA VERIFICANDO INFORMACION DE UBICACIÓN EN LA CIUDAD DE VILLAVICENCIO.</t>
  </si>
  <si>
    <t>ARMANDO FONSECA SIERRA</t>
  </si>
  <si>
    <t>6-1101</t>
  </si>
  <si>
    <t>AGO.04/2018</t>
  </si>
  <si>
    <r>
      <t xml:space="preserve">SE LE INFORMA VIA MAIL QUE SE INICIARA PROCESO DE DEMANDA. 
YA FUE EVACUADA LA ETAPA PRE-JURIDICA SIN OBTENER EL PAGO TOTAL DE LA OBLIGACIÓN. </t>
    </r>
    <r>
      <rPr>
        <b/>
        <sz val="10"/>
        <rFont val="Cambria"/>
        <family val="1"/>
        <scheme val="major"/>
      </rPr>
      <t>SOLICITAMOS CERTIFICADO DE LIBERTAD, PARA VERIFICAR ESTADO DEL INMUBLE</t>
    </r>
    <r>
      <rPr>
        <sz val="10"/>
        <rFont val="Cambria"/>
        <family val="1"/>
        <scheme val="major"/>
      </rPr>
      <t xml:space="preserve">. </t>
    </r>
  </si>
  <si>
    <t>FEB.19/2019</t>
  </si>
  <si>
    <t>MAR.01/2019</t>
  </si>
  <si>
    <t>ABR.01/2019</t>
  </si>
  <si>
    <t>MAY.01/2019</t>
  </si>
  <si>
    <t xml:space="preserve">JAVIER PLATA </t>
  </si>
  <si>
    <t>1-103</t>
  </si>
  <si>
    <t>CLIENTE RETIRADO POR ADMINISTRACIÓN, PENDIENTE $20.000 DE COMUNICADO.</t>
  </si>
  <si>
    <t>JULIO DAVID SALAZAR ANGEL Y/O LUIS FERNANDO SALAZAR ANGEL</t>
  </si>
  <si>
    <t>2-505</t>
  </si>
  <si>
    <t>PENDIENTE DEFINIR EL PAGO DEL SALDO DE LA OBLIGACIÓN, YA QUE EN ASAMBLEA NO FUE APROBADO EL DESCUENTO DE INTERESES.</t>
  </si>
  <si>
    <t>ABR.17/2019</t>
  </si>
  <si>
    <t>NANCY VARGAS/ROBERTO ARJONA</t>
  </si>
  <si>
    <t>3-404</t>
  </si>
  <si>
    <t>NOV.10/2018</t>
  </si>
  <si>
    <t>CLIENTE AL DIA A NOVIEMBRE DE 2018.</t>
  </si>
  <si>
    <t xml:space="preserve">ALBERTO ANTONIO AGRESOTT S. </t>
  </si>
  <si>
    <t>3-903</t>
  </si>
  <si>
    <t>CLIENTE AL DIA A DICIEMBRE DE 2019, ADMINISTRADORA REALIZA DESCUENTO DE EN UNA PARTE DE HONORARIOS, PARA QUE EL CLIENTE QUEDE A PAZ Y SALVO.</t>
  </si>
  <si>
    <t>JANETH ASTRID SOLIS MELGAREJO</t>
  </si>
  <si>
    <t>4-403</t>
  </si>
  <si>
    <t>AURA ENITH DIAZ DE FALLA / PABLO ANDRES FALLA DIAZ / MARCO ANTONIO FEIJOO DIAZ</t>
  </si>
  <si>
    <t>4-404</t>
  </si>
  <si>
    <t>SEP.29/2018</t>
  </si>
  <si>
    <t>CLIENTE AL DIA CON LA OBLIGACIÓN A SEPTIEMBRE DE 2018. SE REALIZO UN DESCUENTO EN HONORARIOS POR PAGO DE CONTADO.</t>
  </si>
  <si>
    <t>CARLOS RAMIRO ROMERO PARDO</t>
  </si>
  <si>
    <t>4-1003</t>
  </si>
  <si>
    <t>ENE.23/2019</t>
  </si>
  <si>
    <t>CLIENTE AL DIA. EL SEÑOR SE COMUNICO Y MANIFESTO QUE NO ESTABA DE ACUERDO CON EL COBRO DE HONORARIOS. SE LE ENVIO EL ESTADO DE CUENTA TOTALMENTE DISCRIMINADAO, PARA QUE VERIFIQUE LO QUE SE LE COBRO DE HONORARIOS.</t>
  </si>
  <si>
    <t>FEB.09/2019</t>
  </si>
  <si>
    <t>FEB.28/2019</t>
  </si>
  <si>
    <t>MAR.12/2019</t>
  </si>
  <si>
    <t>MAR.29/2019</t>
  </si>
  <si>
    <t xml:space="preserve">OSWALDO HURTADO </t>
  </si>
  <si>
    <t>5-901</t>
  </si>
  <si>
    <t>JUL.30/2018</t>
  </si>
  <si>
    <t>CLIENTE AL DIA A JULIO DE 2018, SE REALIZO DESCUENTO EN UNA PARTE DE HONORARIOS.</t>
  </si>
  <si>
    <t>ELKIN JOSE JIMENEZ</t>
  </si>
  <si>
    <t>5-904</t>
  </si>
  <si>
    <t>AGO.03/2018</t>
  </si>
  <si>
    <t xml:space="preserve">CLIENTE AL DIA A JULIO DE 2018. </t>
  </si>
  <si>
    <t xml:space="preserve">NICOLAS JIMENEZ </t>
  </si>
  <si>
    <t>5-1201</t>
  </si>
  <si>
    <t>FEB.21/2019</t>
  </si>
  <si>
    <t>CLIENTE AL DIA A FEBRERO DE 2019</t>
  </si>
  <si>
    <t>JORGE MARTINEZ CASTILLO</t>
  </si>
  <si>
    <t>6-803</t>
  </si>
  <si>
    <t>ENE.05/2018</t>
  </si>
  <si>
    <t>CLIENTE AL DIA AGOSTO DE 2018.</t>
  </si>
  <si>
    <t>MAR.07/2018</t>
  </si>
  <si>
    <t>JUL.12/2018</t>
  </si>
  <si>
    <t>AGO.13/2018</t>
  </si>
  <si>
    <t>AGO.23/2018</t>
  </si>
  <si>
    <t>KAREN ZAMBRANO L.</t>
  </si>
  <si>
    <t>MARIA DEL PILAR SUAREZ</t>
  </si>
  <si>
    <t>Departamento de Cartera.</t>
  </si>
  <si>
    <t>Administradora</t>
  </si>
  <si>
    <r>
      <rPr>
        <sz val="12"/>
        <rFont val="Arial"/>
        <family val="2"/>
      </rPr>
      <t>Consig 30/Jul/18</t>
    </r>
  </si>
  <si>
    <r>
      <rPr>
        <sz val="12"/>
        <rFont val="Arial"/>
        <family val="2"/>
      </rPr>
      <t>RC-42698</t>
    </r>
  </si>
  <si>
    <r>
      <rPr>
        <sz val="12"/>
        <rFont val="Arial"/>
        <family val="2"/>
      </rPr>
      <t>7-1</t>
    </r>
  </si>
  <si>
    <r>
      <rPr>
        <sz val="12"/>
        <rFont val="Arial"/>
        <family val="2"/>
      </rPr>
      <t>Consig 28/Jul/18</t>
    </r>
  </si>
  <si>
    <r>
      <rPr>
        <sz val="12"/>
        <rFont val="Arial"/>
        <family val="2"/>
      </rPr>
      <t>RC-42695</t>
    </r>
  </si>
  <si>
    <r>
      <rPr>
        <sz val="12"/>
        <rFont val="Arial"/>
        <family val="2"/>
      </rPr>
      <t>41436024-8</t>
    </r>
  </si>
  <si>
    <r>
      <rPr>
        <sz val="12"/>
        <rFont val="Arial"/>
        <family val="2"/>
      </rPr>
      <t>RC-42696</t>
    </r>
  </si>
  <si>
    <r>
      <rPr>
        <sz val="12"/>
        <rFont val="Arial"/>
        <family val="2"/>
      </rPr>
      <t>79361104-3</t>
    </r>
  </si>
  <si>
    <t>SALDO SEGÚN EXTRACTO</t>
  </si>
  <si>
    <t>SALDO SEGÚN LIBROS</t>
  </si>
  <si>
    <t>CHEQUES PENDIENTES DE COBRO</t>
  </si>
  <si>
    <t>SUMAS  IGUALES</t>
  </si>
  <si>
    <t>JUNIO</t>
  </si>
  <si>
    <t>JULIO</t>
  </si>
  <si>
    <t>AGOSTO</t>
  </si>
  <si>
    <t>SEPTIEMBRE</t>
  </si>
  <si>
    <t>OCTUBRE</t>
  </si>
  <si>
    <t>NOVIEMBRE</t>
  </si>
  <si>
    <t>DICIEMBRE</t>
  </si>
  <si>
    <t xml:space="preserve">EJECUCION </t>
  </si>
  <si>
    <t>% EJEC</t>
  </si>
  <si>
    <t>ACUM</t>
  </si>
  <si>
    <t>VALOR POR</t>
  </si>
  <si>
    <t>EJECUTAR</t>
  </si>
  <si>
    <t>%  POR</t>
  </si>
  <si>
    <t>EJEC</t>
  </si>
  <si>
    <t>PRESUPUESTO</t>
  </si>
  <si>
    <t>NOGALES DE LA COLINA</t>
  </si>
  <si>
    <t>PRESUPUESTO PARA EJECUTAR MANTENIMIENTOS INMEDIATOS</t>
  </si>
  <si>
    <t>fecha Junio 9 del 2019</t>
  </si>
  <si>
    <t>Descripcion</t>
  </si>
  <si>
    <t>valor urgente</t>
  </si>
  <si>
    <t>valor a 30 días</t>
  </si>
  <si>
    <t>Talanqueras </t>
  </si>
  <si>
    <t>Auditoria ascensores</t>
  </si>
  <si>
    <t>Auditoria incendios</t>
  </si>
  <si>
    <t>Cambio pisos ascensores</t>
  </si>
  <si>
    <t>Retiro de tierras</t>
  </si>
  <si>
    <t>Compra pintura</t>
  </si>
  <si>
    <r>
      <t>Compra </t>
    </r>
    <r>
      <rPr>
        <i/>
        <sz val="11"/>
        <color rgb="FFFF0000"/>
        <rFont val="Calibri"/>
        <family val="2"/>
      </rPr>
      <t>niples medidores(incluye lo del propietario)(1)</t>
    </r>
  </si>
  <si>
    <t>Impermeabilizaciones </t>
  </si>
  <si>
    <t>Compra canaleta 90</t>
  </si>
  <si>
    <t>Compra pintura sotanos</t>
  </si>
  <si>
    <t>Compra meterial para bahias</t>
  </si>
  <si>
    <t>Compra material electricos sotanos</t>
  </si>
  <si>
    <t>Revision asfaltos</t>
  </si>
  <si>
    <t>Instalacion domos</t>
  </si>
  <si>
    <t>Nuevo todero 2 meses</t>
  </si>
  <si>
    <t>Jardines Zen</t>
  </si>
  <si>
    <t>Jardineras  para completar las perimetrales sobre depositos</t>
  </si>
  <si>
    <t>Otrosi jardineras 4 morteros</t>
  </si>
  <si>
    <t>Comprar canastas plásticas para jardineras perimetrales</t>
  </si>
  <si>
    <t>Rejillas y cárcamos</t>
  </si>
  <si>
    <t>Total</t>
  </si>
  <si>
    <t xml:space="preserve">             Auditoria Ascensores</t>
  </si>
  <si>
    <t xml:space="preserve">             Pisos Ascensores</t>
  </si>
  <si>
    <t xml:space="preserve">             Auditoria Eq Contra Incendio</t>
  </si>
  <si>
    <r>
      <rPr>
        <b/>
        <sz val="12"/>
        <rFont val="Calibri"/>
        <family val="2"/>
      </rPr>
      <t>Cuenta</t>
    </r>
  </si>
  <si>
    <r>
      <rPr>
        <b/>
        <sz val="12"/>
        <rFont val="Calibri"/>
        <family val="2"/>
      </rPr>
      <t>Débito</t>
    </r>
  </si>
  <si>
    <t>ESTADO DE SITUACION FINANCIERA COMPARATIVO</t>
  </si>
  <si>
    <t>Adolfo Castillo Bertrand</t>
  </si>
  <si>
    <t>USO ZONAS COMUNES (parq visit)</t>
  </si>
  <si>
    <t>estado</t>
  </si>
  <si>
    <t>cta</t>
  </si>
  <si>
    <t>junio</t>
  </si>
  <si>
    <t>julio</t>
  </si>
  <si>
    <t>agost</t>
  </si>
  <si>
    <t>sept</t>
  </si>
  <si>
    <t>oct</t>
  </si>
  <si>
    <t>nov</t>
  </si>
  <si>
    <t>diciembre</t>
  </si>
  <si>
    <t>TERCERO</t>
  </si>
  <si>
    <t>TOTAL CHEQUES POR COBRAR</t>
  </si>
  <si>
    <t>EGRESO</t>
  </si>
  <si>
    <t>CHEQUE NO.</t>
  </si>
  <si>
    <t>Elaboró: MARTHA VALBUENA</t>
  </si>
  <si>
    <r>
      <rPr>
        <sz val="12"/>
        <rFont val="Calibri"/>
        <family val="2"/>
      </rPr>
      <t>APTO 1-1204</t>
    </r>
  </si>
  <si>
    <r>
      <rPr>
        <sz val="12"/>
        <color rgb="FFFF0000"/>
        <rFont val="Calibri"/>
        <family val="2"/>
      </rPr>
      <t>J</t>
    </r>
  </si>
  <si>
    <r>
      <rPr>
        <sz val="12"/>
        <rFont val="Calibri"/>
        <family val="2"/>
      </rPr>
      <t>11204 Paez Parra Mauricio C.C. 79391030</t>
    </r>
  </si>
  <si>
    <r>
      <rPr>
        <sz val="12"/>
        <rFont val="Calibri"/>
        <family val="2"/>
      </rPr>
      <t>APTO 4-0102</t>
    </r>
  </si>
  <si>
    <r>
      <rPr>
        <sz val="12"/>
        <rFont val="Calibri"/>
        <family val="2"/>
      </rPr>
      <t>4102 Cardona Giraldo Maria Melida C.C. 32343280</t>
    </r>
  </si>
  <si>
    <r>
      <rPr>
        <sz val="12"/>
        <rFont val="Calibri"/>
        <family val="2"/>
      </rPr>
      <t>APTO 6-0102</t>
    </r>
  </si>
  <si>
    <r>
      <rPr>
        <sz val="12"/>
        <rFont val="Calibri"/>
        <family val="2"/>
      </rPr>
      <t>60102 Rojas  Maria Victoria C.C. 51686256</t>
    </r>
  </si>
  <si>
    <r>
      <rPr>
        <sz val="12"/>
        <rFont val="Calibri"/>
        <family val="2"/>
      </rPr>
      <t>APTO 6-1101</t>
    </r>
  </si>
  <si>
    <r>
      <rPr>
        <sz val="12"/>
        <rFont val="Calibri"/>
        <family val="2"/>
      </rPr>
      <t>61101 Fonseca Sierra Armando C.C. 79837930</t>
    </r>
  </si>
  <si>
    <r>
      <rPr>
        <sz val="12"/>
        <rFont val="Calibri"/>
        <family val="2"/>
      </rPr>
      <t>APTO 5-0403</t>
    </r>
  </si>
  <si>
    <r>
      <rPr>
        <sz val="12"/>
        <rFont val="Calibri"/>
        <family val="2"/>
      </rPr>
      <t>5403 Campuzano  Patricia C.C. 52179396</t>
    </r>
  </si>
  <si>
    <r>
      <rPr>
        <sz val="12"/>
        <rFont val="Calibri"/>
        <family val="2"/>
      </rPr>
      <t>APTO 2-0902</t>
    </r>
  </si>
  <si>
    <r>
      <rPr>
        <sz val="12"/>
        <rFont val="Calibri"/>
        <family val="2"/>
      </rPr>
      <t>2902 Ricardi Chavarro Andrea C.C. 31.155.851</t>
    </r>
  </si>
  <si>
    <r>
      <rPr>
        <sz val="12"/>
        <rFont val="Calibri"/>
        <family val="2"/>
      </rPr>
      <t>APTO 6-0202</t>
    </r>
  </si>
  <si>
    <r>
      <rPr>
        <sz val="12"/>
        <rFont val="Calibri"/>
        <family val="2"/>
      </rPr>
      <t>APTO 4-0501</t>
    </r>
  </si>
  <si>
    <r>
      <rPr>
        <sz val="12"/>
        <rFont val="Calibri"/>
        <family val="2"/>
      </rPr>
      <t>4501 Salazar  Alfonso C.C. 98553315</t>
    </r>
  </si>
  <si>
    <r>
      <rPr>
        <sz val="12"/>
        <rFont val="Calibri"/>
        <family val="2"/>
      </rPr>
      <t>APTO 3-0903</t>
    </r>
  </si>
  <si>
    <r>
      <rPr>
        <sz val="12"/>
        <rFont val="Calibri"/>
        <family val="2"/>
      </rPr>
      <t xml:space="preserve">3903 Bayona Gonzalez Orlando </t>
    </r>
  </si>
  <si>
    <r>
      <rPr>
        <sz val="12"/>
        <rFont val="Calibri"/>
        <family val="2"/>
      </rPr>
      <t>APTO 1-0102</t>
    </r>
  </si>
  <si>
    <r>
      <rPr>
        <sz val="12"/>
        <rFont val="Calibri"/>
        <family val="2"/>
      </rPr>
      <t>1102 Jordan  Angelica C.C. 5242761</t>
    </r>
  </si>
  <si>
    <r>
      <rPr>
        <sz val="12"/>
        <rFont val="Calibri"/>
        <family val="2"/>
      </rPr>
      <t>APTO 1-0103</t>
    </r>
  </si>
  <si>
    <r>
      <rPr>
        <sz val="12"/>
        <rFont val="Calibri"/>
        <family val="2"/>
      </rPr>
      <t>1103 Martinez Blanca/Plata Javier/ Plata Camilo</t>
    </r>
  </si>
  <si>
    <r>
      <rPr>
        <sz val="12"/>
        <rFont val="Calibri"/>
        <family val="2"/>
      </rPr>
      <t>APTO 2-0505</t>
    </r>
  </si>
  <si>
    <r>
      <rPr>
        <sz val="12"/>
        <rFont val="Calibri"/>
        <family val="2"/>
      </rPr>
      <t>2505 Salazar Luis Fernando/ Cruz Maria Teresa  Cc10088724- 20975717</t>
    </r>
  </si>
  <si>
    <r>
      <rPr>
        <sz val="12"/>
        <rFont val="Calibri"/>
        <family val="2"/>
      </rPr>
      <t>APTO 6-1102</t>
    </r>
  </si>
  <si>
    <r>
      <rPr>
        <sz val="12"/>
        <rFont val="Calibri"/>
        <family val="2"/>
      </rPr>
      <t>601102 Gutierrez  M. Carlos A./61102 Cc4090503</t>
    </r>
  </si>
  <si>
    <r>
      <rPr>
        <sz val="12"/>
        <rFont val="Calibri"/>
        <family val="2"/>
      </rPr>
      <t>APTO 2-0502</t>
    </r>
  </si>
  <si>
    <r>
      <rPr>
        <sz val="12"/>
        <rFont val="Calibri"/>
        <family val="2"/>
      </rPr>
      <t>2502 Rusinque De Ramirez Irma Cc 21078956</t>
    </r>
  </si>
  <si>
    <r>
      <rPr>
        <sz val="12"/>
        <rFont val="Calibri"/>
        <family val="2"/>
      </rPr>
      <t>APTO 4-0403</t>
    </r>
  </si>
  <si>
    <r>
      <rPr>
        <sz val="12"/>
        <rFont val="Calibri"/>
        <family val="2"/>
      </rPr>
      <t>APTO 6-0104</t>
    </r>
  </si>
  <si>
    <r>
      <rPr>
        <sz val="12"/>
        <rFont val="Calibri"/>
        <family val="2"/>
      </rPr>
      <t>6104 Muñoz  Luz Mery</t>
    </r>
  </si>
  <si>
    <r>
      <rPr>
        <sz val="12"/>
        <rFont val="Calibri"/>
        <family val="2"/>
      </rPr>
      <t>APTO 5-1004</t>
    </r>
  </si>
  <si>
    <r>
      <rPr>
        <sz val="12"/>
        <rFont val="Calibri"/>
        <family val="2"/>
      </rPr>
      <t>51004 Nieto Real Fredy Alberto C.C. 19405508</t>
    </r>
  </si>
  <si>
    <r>
      <rPr>
        <sz val="12"/>
        <rFont val="Calibri"/>
        <family val="2"/>
      </rPr>
      <t>APTO 2-0703</t>
    </r>
  </si>
  <si>
    <r>
      <rPr>
        <sz val="12"/>
        <rFont val="Calibri"/>
        <family val="2"/>
      </rPr>
      <t>2703 Leguizamon  Marco Tulio C.C. 7330596</t>
    </r>
  </si>
  <si>
    <r>
      <rPr>
        <sz val="12"/>
        <rFont val="Calibri"/>
        <family val="2"/>
      </rPr>
      <t>APTO 3-0802</t>
    </r>
  </si>
  <si>
    <r>
      <rPr>
        <sz val="12"/>
        <rFont val="Calibri"/>
        <family val="2"/>
      </rPr>
      <t>3802 Villabona  Juan Fernando C.C. 17549117</t>
    </r>
  </si>
  <si>
    <r>
      <rPr>
        <sz val="12"/>
        <rFont val="Calibri"/>
        <family val="2"/>
      </rPr>
      <t>APTO 3-0503</t>
    </r>
  </si>
  <si>
    <r>
      <rPr>
        <sz val="12"/>
        <rFont val="Calibri"/>
        <family val="2"/>
      </rPr>
      <t xml:space="preserve">3503 Gomez Gomez Patricia </t>
    </r>
  </si>
  <si>
    <r>
      <rPr>
        <sz val="12"/>
        <rFont val="Calibri"/>
        <family val="2"/>
      </rPr>
      <t>APTO 4-0704</t>
    </r>
  </si>
  <si>
    <r>
      <rPr>
        <sz val="12"/>
        <rFont val="Calibri"/>
        <family val="2"/>
      </rPr>
      <t>APTO 1-1104</t>
    </r>
  </si>
  <si>
    <r>
      <rPr>
        <sz val="12"/>
        <rFont val="Calibri"/>
        <family val="2"/>
      </rPr>
      <t>11104 Martinez Prado Maria De La Cruz Cc41316671</t>
    </r>
  </si>
  <si>
    <r>
      <rPr>
        <sz val="12"/>
        <rFont val="Calibri"/>
        <family val="2"/>
      </rPr>
      <t>APTO 1-0201</t>
    </r>
  </si>
  <si>
    <r>
      <rPr>
        <sz val="12"/>
        <rFont val="Calibri"/>
        <family val="2"/>
      </rPr>
      <t>1201 Buhl  Jurgen C.C. 80417103</t>
    </r>
  </si>
  <si>
    <r>
      <rPr>
        <sz val="12"/>
        <rFont val="Calibri"/>
        <family val="2"/>
      </rPr>
      <t>APTO 1-0801</t>
    </r>
  </si>
  <si>
    <r>
      <rPr>
        <sz val="12"/>
        <rFont val="Calibri"/>
        <family val="2"/>
      </rPr>
      <t>1801 Torres Rodriguez Maria Carmenza C.C. 41593953</t>
    </r>
  </si>
  <si>
    <r>
      <rPr>
        <sz val="12"/>
        <rFont val="Calibri"/>
        <family val="2"/>
      </rPr>
      <t>APTO 3-1003</t>
    </r>
  </si>
  <si>
    <r>
      <rPr>
        <sz val="12"/>
        <rFont val="Calibri"/>
        <family val="2"/>
      </rPr>
      <t>APTO 3-1204</t>
    </r>
  </si>
  <si>
    <r>
      <rPr>
        <sz val="12"/>
        <rFont val="Calibri"/>
        <family val="2"/>
      </rPr>
      <t>APTO 2-0101</t>
    </r>
  </si>
  <si>
    <r>
      <rPr>
        <sz val="12"/>
        <rFont val="Calibri"/>
        <family val="2"/>
      </rPr>
      <t>2101 Salinas  Francisco C.C. 19473973</t>
    </r>
  </si>
  <si>
    <t>TOTALES</t>
  </si>
  <si>
    <t>Indeminizacion poliza seguros</t>
  </si>
  <si>
    <t xml:space="preserve">             Materiales pintura interna en Torres</t>
  </si>
  <si>
    <t xml:space="preserve">             Aux Mantenimiento M.O. pintura</t>
  </si>
  <si>
    <t>DEPOS RECAUDO EFEC</t>
  </si>
  <si>
    <r>
      <rPr>
        <b/>
        <sz val="12"/>
        <rFont val="Calibri"/>
        <family val="2"/>
      </rPr>
      <t>Nombre</t>
    </r>
  </si>
  <si>
    <r>
      <rPr>
        <b/>
        <sz val="12"/>
        <rFont val="Calibri"/>
        <family val="2"/>
      </rPr>
      <t>Inmueble</t>
    </r>
  </si>
  <si>
    <r>
      <rPr>
        <sz val="12"/>
        <rFont val="Calibri"/>
        <family val="2"/>
      </rPr>
      <t>APTO 5-0901</t>
    </r>
  </si>
  <si>
    <r>
      <rPr>
        <sz val="12"/>
        <rFont val="Calibri"/>
        <family val="2"/>
      </rPr>
      <t>APTO 6-0101</t>
    </r>
  </si>
  <si>
    <r>
      <rPr>
        <sz val="12"/>
        <rFont val="Calibri"/>
        <family val="2"/>
      </rPr>
      <t>APTO 4-0404</t>
    </r>
  </si>
  <si>
    <t xml:space="preserve">             Arreglo Pisos Salon com- Plazoleta- sott2</t>
  </si>
  <si>
    <t xml:space="preserve">             Dry wall salon niños- Guarderia</t>
  </si>
  <si>
    <t xml:space="preserve">             Instalacion Domos</t>
  </si>
  <si>
    <t xml:space="preserve">             Sumin bateria y cambio tuberia Planta Elec</t>
  </si>
  <si>
    <t>Cuotas  parqueadero Año actual</t>
  </si>
  <si>
    <t>Parquedaro de Visitantes año actual</t>
  </si>
  <si>
    <t>CONJUNTO RESIDENCIAL NOGALES DE LA COLINA P.H</t>
  </si>
  <si>
    <t>RELACION  OTROS INGRESO Y GASTOS NO PRESUPUESTADOS</t>
  </si>
  <si>
    <t>Otros ingresos y traslados entre cuentas</t>
  </si>
  <si>
    <t>MANT PREV BOMBAS -EYEC- EQ INCENDIO</t>
  </si>
  <si>
    <t>ENE-SEPT/19</t>
  </si>
  <si>
    <t>RECAUDO OTROS INGRESOS</t>
  </si>
  <si>
    <t>INGRESOS MENOS GASTOS</t>
  </si>
  <si>
    <t xml:space="preserve">             Mant Aslfalto y Adoquin parquead</t>
  </si>
  <si>
    <t>excedente del ejercicio (conciliacion)</t>
  </si>
  <si>
    <t>EXCEDENTE DEL EJERCICIO  -OTROS ING Y GTOS</t>
  </si>
  <si>
    <t>EXCEDENTE DEL EJERCICIO  -PRESUP ORDINARIO</t>
  </si>
  <si>
    <t>EFECTIVO DISPONIBLE  -</t>
  </si>
  <si>
    <r>
      <rPr>
        <b/>
        <sz val="12"/>
        <rFont val="Calibri"/>
        <family val="2"/>
      </rPr>
      <t>Conjunto Residencial Nogales De La Colina Ph</t>
    </r>
  </si>
  <si>
    <r>
      <rPr>
        <b/>
        <sz val="12"/>
        <rFont val="Calibri"/>
        <family val="2"/>
      </rPr>
      <t>Cuotas De Administracion</t>
    </r>
  </si>
  <si>
    <r>
      <rPr>
        <b/>
        <sz val="12"/>
        <rFont val="Calibri"/>
        <family val="2"/>
      </rPr>
      <t>Cuota Extraordinaria Fachadas-</t>
    </r>
  </si>
  <si>
    <r>
      <rPr>
        <b/>
        <sz val="12"/>
        <rFont val="Calibri"/>
        <family val="2"/>
      </rPr>
      <t xml:space="preserve">Sanciones, Recargos Y Multas De </t>
    </r>
  </si>
  <si>
    <r>
      <rPr>
        <b/>
        <sz val="12"/>
        <rFont val="Calibri"/>
        <family val="2"/>
      </rPr>
      <t>Sancion Parqueadero Visitantes</t>
    </r>
  </si>
  <si>
    <r>
      <rPr>
        <b/>
        <sz val="12"/>
        <rFont val="Calibri"/>
        <family val="2"/>
      </rPr>
      <t>Intereses De Mora Administracion</t>
    </r>
  </si>
  <si>
    <r>
      <rPr>
        <b/>
        <sz val="12"/>
        <rFont val="Calibri"/>
        <family val="2"/>
      </rPr>
      <t>Intereses Mora C. Extraordinaira</t>
    </r>
  </si>
  <si>
    <r>
      <rPr>
        <sz val="12"/>
        <rFont val="Calibri"/>
        <family val="2"/>
      </rPr>
      <t>4804 Novoa Bermudez Manuel /  Zambrano Sandra Del Pilar C.C. 19481800</t>
    </r>
  </si>
  <si>
    <r>
      <rPr>
        <sz val="12"/>
        <rFont val="Calibri"/>
        <family val="2"/>
      </rPr>
      <t>APTO 4-0804</t>
    </r>
  </si>
  <si>
    <r>
      <rPr>
        <sz val="12"/>
        <rFont val="Calibri"/>
        <family val="2"/>
      </rPr>
      <t xml:space="preserve">1302 Hernandez  Maria Elena </t>
    </r>
  </si>
  <si>
    <r>
      <rPr>
        <sz val="12"/>
        <rFont val="Calibri"/>
        <family val="2"/>
      </rPr>
      <t>APTO 1-0302</t>
    </r>
  </si>
  <si>
    <r>
      <rPr>
        <sz val="12"/>
        <rFont val="Calibri"/>
        <family val="2"/>
      </rPr>
      <t xml:space="preserve">5702 Lopez  Blanca Hilda </t>
    </r>
  </si>
  <si>
    <r>
      <rPr>
        <sz val="12"/>
        <rFont val="Calibri"/>
        <family val="2"/>
      </rPr>
      <t>APTO 5-0702</t>
    </r>
  </si>
  <si>
    <r>
      <rPr>
        <sz val="12"/>
        <rFont val="Calibri"/>
        <family val="2"/>
      </rPr>
      <t>APTO 1-0101</t>
    </r>
  </si>
  <si>
    <r>
      <rPr>
        <sz val="12"/>
        <rFont val="Calibri"/>
        <family val="2"/>
      </rPr>
      <t>APTO 6-0301</t>
    </r>
  </si>
  <si>
    <r>
      <rPr>
        <sz val="12"/>
        <rFont val="Calibri"/>
        <family val="2"/>
      </rPr>
      <t>31003 Uribe Sierra Jorge /Sierra Gomez Miryam   C.C. 80.244.360/ Cc37.808.280</t>
    </r>
  </si>
  <si>
    <r>
      <rPr>
        <sz val="12"/>
        <rFont val="Calibri"/>
        <family val="2"/>
      </rPr>
      <t>30803 Cano  Miguel Francisco C.C. 79230990</t>
    </r>
  </si>
  <si>
    <r>
      <rPr>
        <sz val="12"/>
        <rFont val="Calibri"/>
        <family val="2"/>
      </rPr>
      <t>APTO 3-0803</t>
    </r>
  </si>
  <si>
    <t>GASTOS NO PRESUPUESTADOS -OBRAS PRIORITARIAS</t>
  </si>
  <si>
    <t>TRASL CUASACION OTROS ING  A FONDO</t>
  </si>
  <si>
    <t>1578</t>
  </si>
  <si>
    <t>(BCS) Plaza de Bolivar</t>
  </si>
  <si>
    <t>Honorarios y gastos recaudo juridico</t>
  </si>
  <si>
    <t>causado</t>
  </si>
  <si>
    <t>INFORME CUENTAS POR COBRAR</t>
  </si>
  <si>
    <r>
      <rPr>
        <sz val="12"/>
        <rFont val="Calibri"/>
        <family val="2"/>
      </rPr>
      <t xml:space="preserve">6202 Sociedad De Activos Especiales Nit 900.265.408-3 </t>
    </r>
  </si>
  <si>
    <r>
      <rPr>
        <sz val="12"/>
        <rFont val="Calibri"/>
        <family val="2"/>
      </rPr>
      <t>6504 Alejandro  Velasco  C.C. 11349628</t>
    </r>
  </si>
  <si>
    <r>
      <rPr>
        <sz val="12"/>
        <rFont val="Calibri"/>
        <family val="2"/>
      </rPr>
      <t>APTO 6-0504</t>
    </r>
  </si>
  <si>
    <r>
      <rPr>
        <sz val="12"/>
        <rFont val="Calibri"/>
        <family val="2"/>
      </rPr>
      <t>3204 Hincapie Asociados S.A.S Nit. 900478707</t>
    </r>
  </si>
  <si>
    <r>
      <rPr>
        <sz val="12"/>
        <rFont val="Calibri"/>
        <family val="2"/>
      </rPr>
      <t>APTO 3-0204</t>
    </r>
  </si>
  <si>
    <r>
      <rPr>
        <sz val="12"/>
        <rFont val="Calibri"/>
        <family val="2"/>
      </rPr>
      <t>6103 Moreno Monsalve Noemi C.C. 60280267</t>
    </r>
  </si>
  <si>
    <r>
      <rPr>
        <sz val="12"/>
        <rFont val="Calibri"/>
        <family val="2"/>
      </rPr>
      <t>APTO 6-0103</t>
    </r>
  </si>
  <si>
    <r>
      <rPr>
        <sz val="12"/>
        <rFont val="Calibri"/>
        <family val="2"/>
      </rPr>
      <t>6301 Diaz  Reinaldo C.C. 80777885</t>
    </r>
  </si>
  <si>
    <r>
      <rPr>
        <sz val="12"/>
        <rFont val="Calibri"/>
        <family val="2"/>
      </rPr>
      <t>5903 Muñoz Riaño Jaime Elkim Cc 79.905.768</t>
    </r>
  </si>
  <si>
    <r>
      <rPr>
        <sz val="12"/>
        <rFont val="Calibri"/>
        <family val="2"/>
      </rPr>
      <t>APTO 5-0903</t>
    </r>
  </si>
  <si>
    <r>
      <rPr>
        <sz val="12"/>
        <rFont val="Calibri"/>
        <family val="2"/>
      </rPr>
      <t>21102 Cuellar  Maria Emilia C.C. 20304174</t>
    </r>
  </si>
  <si>
    <r>
      <rPr>
        <sz val="12"/>
        <rFont val="Calibri"/>
        <family val="2"/>
      </rPr>
      <t>APTO 2-1102</t>
    </r>
  </si>
  <si>
    <r>
      <rPr>
        <sz val="12"/>
        <rFont val="Calibri"/>
        <family val="2"/>
      </rPr>
      <t xml:space="preserve">3202 Herrera  Jose Maria </t>
    </r>
  </si>
  <si>
    <r>
      <rPr>
        <sz val="12"/>
        <rFont val="Calibri"/>
        <family val="2"/>
      </rPr>
      <t>APTO 3-0202</t>
    </r>
  </si>
  <si>
    <r>
      <rPr>
        <sz val="12"/>
        <rFont val="Calibri"/>
        <family val="2"/>
      </rPr>
      <t xml:space="preserve">3302 Gomez  Maria Helena </t>
    </r>
  </si>
  <si>
    <r>
      <rPr>
        <sz val="12"/>
        <rFont val="Calibri"/>
        <family val="2"/>
      </rPr>
      <t>APTO 3-0302</t>
    </r>
  </si>
  <si>
    <r>
      <rPr>
        <sz val="12"/>
        <rFont val="Calibri"/>
        <family val="2"/>
      </rPr>
      <t>3602 Salazar  Beatriz Eugenia C.C. 52116501</t>
    </r>
  </si>
  <si>
    <r>
      <rPr>
        <sz val="12"/>
        <rFont val="Calibri"/>
        <family val="2"/>
      </rPr>
      <t>APTO 3-0602</t>
    </r>
  </si>
  <si>
    <r>
      <rPr>
        <sz val="12"/>
        <rFont val="Calibri"/>
        <family val="2"/>
      </rPr>
      <t>6603 Diaz Arjona Alvaro C.C. 73072901</t>
    </r>
  </si>
  <si>
    <r>
      <rPr>
        <sz val="12"/>
        <rFont val="Calibri"/>
        <family val="2"/>
      </rPr>
      <t>APTO 6-0603</t>
    </r>
  </si>
  <si>
    <r>
      <rPr>
        <sz val="12"/>
        <rFont val="Calibri"/>
        <family val="2"/>
      </rPr>
      <t>61201 Duran Escobar Iris Del Carmen C.C. 22412256</t>
    </r>
  </si>
  <si>
    <r>
      <rPr>
        <sz val="12"/>
        <rFont val="Calibri"/>
        <family val="2"/>
      </rPr>
      <t>APTO 6-1201</t>
    </r>
  </si>
  <si>
    <r>
      <rPr>
        <sz val="12"/>
        <rFont val="Calibri"/>
        <family val="2"/>
      </rPr>
      <t>11103 Niño  Bertha Aidee C.C. 46664652</t>
    </r>
  </si>
  <si>
    <r>
      <rPr>
        <sz val="12"/>
        <rFont val="Calibri"/>
        <family val="2"/>
      </rPr>
      <t>APTO 1-1103</t>
    </r>
  </si>
  <si>
    <r>
      <rPr>
        <sz val="12"/>
        <rFont val="Calibri"/>
        <family val="2"/>
      </rPr>
      <t>5901 Hurtado  Oswaldo C.C. 11787419</t>
    </r>
  </si>
  <si>
    <r>
      <rPr>
        <sz val="12"/>
        <rFont val="Calibri"/>
        <family val="2"/>
      </rPr>
      <t>11101 Pulido Gonzalez Myriam Graciela C.C. 35327189</t>
    </r>
  </si>
  <si>
    <r>
      <rPr>
        <sz val="12"/>
        <rFont val="Calibri"/>
        <family val="2"/>
      </rPr>
      <t>APTO 1-1101</t>
    </r>
  </si>
  <si>
    <r>
      <rPr>
        <sz val="12"/>
        <rFont val="Calibri"/>
        <family val="2"/>
      </rPr>
      <t>1702 Rodriguez  Wilson C.C. 79521043</t>
    </r>
  </si>
  <si>
    <r>
      <rPr>
        <sz val="12"/>
        <rFont val="Calibri"/>
        <family val="2"/>
      </rPr>
      <t>APTO 1-0702</t>
    </r>
  </si>
  <si>
    <t>Mant Ascensores</t>
  </si>
  <si>
    <r>
      <rPr>
        <sz val="12"/>
        <rFont val="Calibri"/>
        <family val="2"/>
      </rPr>
      <t>51102 Hurtado  Bertha C.C. 41519125</t>
    </r>
  </si>
  <si>
    <r>
      <rPr>
        <sz val="12"/>
        <rFont val="Calibri"/>
        <family val="2"/>
      </rPr>
      <t>APTO 5-1102</t>
    </r>
  </si>
  <si>
    <r>
      <rPr>
        <sz val="12"/>
        <rFont val="Calibri"/>
        <family val="2"/>
      </rPr>
      <t>4302 Lindo Tejada  Napoleon / Suarez Ana Leida</t>
    </r>
  </si>
  <si>
    <r>
      <rPr>
        <sz val="12"/>
        <rFont val="Calibri"/>
        <family val="2"/>
      </rPr>
      <t>APTO 4-0302</t>
    </r>
  </si>
  <si>
    <r>
      <rPr>
        <sz val="12"/>
        <rFont val="Calibri"/>
        <family val="2"/>
      </rPr>
      <t>31004 Blanco De  Irene C.C. 41406407</t>
    </r>
  </si>
  <si>
    <r>
      <rPr>
        <sz val="12"/>
        <rFont val="Calibri"/>
        <family val="2"/>
      </rPr>
      <t>APTO 3-1004</t>
    </r>
  </si>
  <si>
    <r>
      <rPr>
        <sz val="12"/>
        <rFont val="Calibri"/>
        <family val="2"/>
      </rPr>
      <t>3704 Chacon M. Telesforo C.C. 2865759</t>
    </r>
  </si>
  <si>
    <r>
      <rPr>
        <sz val="12"/>
        <rFont val="Calibri"/>
        <family val="2"/>
      </rPr>
      <t>APTO 3-0704</t>
    </r>
  </si>
  <si>
    <r>
      <rPr>
        <sz val="12"/>
        <rFont val="Calibri"/>
        <family val="2"/>
      </rPr>
      <t>4704 Cardenas Vera Monica Natalia/ Rolando Cardenas Vera/ Maryuri Ximena Cardenas</t>
    </r>
  </si>
  <si>
    <r>
      <rPr>
        <sz val="12"/>
        <rFont val="Calibri"/>
        <family val="2"/>
      </rPr>
      <t>APTO 4-1102</t>
    </r>
  </si>
  <si>
    <t>otros ingresos</t>
  </si>
  <si>
    <t>GASTOS EJERCICIOS ANTERIORES</t>
  </si>
  <si>
    <t>mayo</t>
  </si>
  <si>
    <t>jun</t>
  </si>
  <si>
    <t>jul</t>
  </si>
  <si>
    <t>ago</t>
  </si>
  <si>
    <t>sep</t>
  </si>
  <si>
    <t>total año</t>
  </si>
  <si>
    <t>recaudo</t>
  </si>
  <si>
    <t>AÑO 2.020</t>
  </si>
  <si>
    <t>facturado Cuotas administracion ene-dic/20</t>
  </si>
  <si>
    <t>Recaudado Cuotas administracion ene-dic/20</t>
  </si>
  <si>
    <t>Otras cuotas chips elec</t>
  </si>
  <si>
    <t>EJECUCION PRESUPUESTAL AÑO/20</t>
  </si>
  <si>
    <t>ENERO</t>
  </si>
  <si>
    <t>FEBRERO</t>
  </si>
  <si>
    <t>MARZO</t>
  </si>
  <si>
    <t>ABRIL</t>
  </si>
  <si>
    <t>MAYO</t>
  </si>
  <si>
    <t>VARIACION</t>
  </si>
  <si>
    <t>INVERSIONES CORTO PLAZO</t>
  </si>
  <si>
    <t>Inasistencia Asamblea y otras cuotas</t>
  </si>
  <si>
    <t>Anticipos a contratistas y proveedores</t>
  </si>
  <si>
    <t>Otros deudores</t>
  </si>
  <si>
    <t>Otros gastos- Ferreteria</t>
  </si>
  <si>
    <t>Cheque pendientes de cobro</t>
  </si>
  <si>
    <t>OTROS PASIVOS FINANCIEROS</t>
  </si>
  <si>
    <t>Honorarios juridicos</t>
  </si>
  <si>
    <t xml:space="preserve">Fondo De Imprevistos </t>
  </si>
  <si>
    <t>Fondo otros ingresos para obras menores</t>
  </si>
  <si>
    <t>Excedente o Déficit(-) del Ejercicio</t>
  </si>
  <si>
    <t>Martha C Valbuena R.</t>
  </si>
  <si>
    <t>Luis Alejandro Fuquene</t>
  </si>
  <si>
    <t>Representante Legal</t>
  </si>
  <si>
    <t>C.C.  19.248.509</t>
  </si>
  <si>
    <t>T.P. 78029-T</t>
  </si>
  <si>
    <t>T.P. 88722-T</t>
  </si>
  <si>
    <t>Mant planta electrica</t>
  </si>
  <si>
    <t>Otros depositos</t>
  </si>
  <si>
    <t>enero</t>
  </si>
  <si>
    <t>marzo</t>
  </si>
  <si>
    <t>abril</t>
  </si>
  <si>
    <t>RENDIMIENTOS FINAN</t>
  </si>
  <si>
    <t>febrero</t>
  </si>
  <si>
    <r>
      <rPr>
        <b/>
        <sz val="12"/>
        <rFont val="Times New Roman"/>
        <family val="1"/>
      </rPr>
      <t>233525</t>
    </r>
  </si>
  <si>
    <r>
      <rPr>
        <b/>
        <sz val="12"/>
        <rFont val="Times New Roman"/>
        <family val="1"/>
      </rPr>
      <t>23353001</t>
    </r>
  </si>
  <si>
    <r>
      <rPr>
        <b/>
        <sz val="12"/>
        <rFont val="Times New Roman"/>
        <family val="1"/>
      </rPr>
      <t>23353003</t>
    </r>
  </si>
  <si>
    <r>
      <rPr>
        <b/>
        <sz val="12"/>
        <rFont val="Times New Roman"/>
        <family val="1"/>
      </rPr>
      <t>23353004</t>
    </r>
  </si>
  <si>
    <r>
      <rPr>
        <b/>
        <sz val="12"/>
        <rFont val="Times New Roman"/>
        <family val="1"/>
      </rPr>
      <t>23353005</t>
    </r>
  </si>
  <si>
    <r>
      <rPr>
        <b/>
        <sz val="12"/>
        <rFont val="Times New Roman"/>
        <family val="1"/>
      </rPr>
      <t>23353501</t>
    </r>
  </si>
  <si>
    <r>
      <rPr>
        <b/>
        <sz val="12"/>
        <rFont val="Times New Roman"/>
        <family val="1"/>
      </rPr>
      <t>23353502</t>
    </r>
  </si>
  <si>
    <r>
      <rPr>
        <b/>
        <sz val="12"/>
        <rFont val="Times New Roman"/>
        <family val="1"/>
      </rPr>
      <t>23353503</t>
    </r>
  </si>
  <si>
    <r>
      <rPr>
        <b/>
        <sz val="12"/>
        <rFont val="Times New Roman"/>
        <family val="1"/>
      </rPr>
      <t>23353504</t>
    </r>
  </si>
  <si>
    <r>
      <rPr>
        <b/>
        <sz val="12"/>
        <rFont val="Times New Roman"/>
        <family val="1"/>
      </rPr>
      <t>23353505</t>
    </r>
  </si>
  <si>
    <r>
      <rPr>
        <b/>
        <sz val="12"/>
        <rFont val="Times New Roman"/>
        <family val="1"/>
      </rPr>
      <t>233550</t>
    </r>
  </si>
  <si>
    <r>
      <rPr>
        <b/>
        <sz val="12"/>
        <rFont val="Times New Roman"/>
        <family val="1"/>
      </rPr>
      <t>233556</t>
    </r>
  </si>
  <si>
    <r>
      <rPr>
        <b/>
        <sz val="12"/>
        <rFont val="Times New Roman"/>
        <family val="1"/>
      </rPr>
      <t>233595</t>
    </r>
  </si>
  <si>
    <r>
      <rPr>
        <b/>
        <sz val="12"/>
        <rFont val="Times New Roman"/>
        <family val="1"/>
      </rPr>
      <t>233596</t>
    </r>
  </si>
  <si>
    <r>
      <rPr>
        <b/>
        <sz val="12"/>
        <rFont val="Times New Roman"/>
        <family val="1"/>
      </rPr>
      <t>133095</t>
    </r>
  </si>
  <si>
    <r>
      <rPr>
        <b/>
        <sz val="12"/>
        <rFont val="Times New Roman"/>
        <family val="1"/>
      </rPr>
      <t>133096</t>
    </r>
  </si>
  <si>
    <r>
      <rPr>
        <b/>
        <sz val="12"/>
        <rFont val="Times New Roman"/>
        <family val="1"/>
      </rPr>
      <t>331001</t>
    </r>
  </si>
  <si>
    <r>
      <rPr>
        <b/>
        <sz val="12"/>
        <rFont val="Times New Roman"/>
        <family val="1"/>
      </rPr>
      <t>331002</t>
    </r>
  </si>
  <si>
    <r>
      <rPr>
        <b/>
        <sz val="12"/>
        <rFont val="Times New Roman"/>
        <family val="1"/>
      </rPr>
      <t>331003</t>
    </r>
  </si>
  <si>
    <t>FONDOS DESTINACION ESPECIFICA</t>
  </si>
  <si>
    <r>
      <rPr>
        <sz val="12"/>
        <rFont val="Arial"/>
        <family val="2"/>
      </rPr>
      <t>HONORARIOS</t>
    </r>
  </si>
  <si>
    <r>
      <rPr>
        <sz val="12"/>
        <rFont val="Arial"/>
        <family val="2"/>
      </rPr>
      <t>SERV VIGILANCIA</t>
    </r>
  </si>
  <si>
    <r>
      <rPr>
        <sz val="12"/>
        <rFont val="Arial"/>
        <family val="2"/>
      </rPr>
      <t>SERV ASEO</t>
    </r>
  </si>
  <si>
    <r>
      <rPr>
        <sz val="12"/>
        <rFont val="Arial"/>
        <family val="2"/>
      </rPr>
      <t>AUXILIAR ADTIVO.</t>
    </r>
  </si>
  <si>
    <r>
      <rPr>
        <sz val="12"/>
        <rFont val="Arial"/>
        <family val="2"/>
      </rPr>
      <t>LICENCIA SOTFWARE CONTABLE</t>
    </r>
  </si>
  <si>
    <r>
      <rPr>
        <sz val="12"/>
        <rFont val="Arial"/>
        <family val="2"/>
      </rPr>
      <t>MANT LOCATIVOS</t>
    </r>
  </si>
  <si>
    <r>
      <rPr>
        <sz val="12"/>
        <rFont val="Arial"/>
        <family val="2"/>
      </rPr>
      <t>MANT PLANTA ELECTRICA</t>
    </r>
  </si>
  <si>
    <r>
      <rPr>
        <sz val="12"/>
        <rFont val="Arial"/>
        <family val="2"/>
      </rPr>
      <t>MANT JARDINES</t>
    </r>
  </si>
  <si>
    <r>
      <rPr>
        <sz val="12"/>
        <rFont val="Arial"/>
        <family val="2"/>
      </rPr>
      <t>MANT EQ PRESION</t>
    </r>
  </si>
  <si>
    <r>
      <rPr>
        <sz val="12"/>
        <rFont val="Arial"/>
        <family val="2"/>
      </rPr>
      <t>MANT ASCENSORES</t>
    </r>
  </si>
  <si>
    <r>
      <rPr>
        <sz val="12"/>
        <rFont val="Arial"/>
        <family val="2"/>
      </rPr>
      <t>SERVICIOS PUBLICOS</t>
    </r>
  </si>
  <si>
    <r>
      <rPr>
        <sz val="12"/>
        <rFont val="Arial"/>
        <family val="2"/>
      </rPr>
      <t>CAJA MENOR REEMBOLSO</t>
    </r>
  </si>
  <si>
    <r>
      <rPr>
        <sz val="12"/>
        <rFont val="Arial"/>
        <family val="2"/>
      </rPr>
      <t>OTROS COSTOS Y GASTOS POR PAGAR</t>
    </r>
  </si>
  <si>
    <r>
      <rPr>
        <sz val="12"/>
        <rFont val="Arial"/>
        <family val="2"/>
      </rPr>
      <t>ELECTRICOS- FERRETRIA</t>
    </r>
  </si>
  <si>
    <r>
      <rPr>
        <sz val="12"/>
        <rFont val="Arial"/>
        <family val="2"/>
      </rPr>
      <t>OTROS</t>
    </r>
  </si>
  <si>
    <r>
      <rPr>
        <sz val="12"/>
        <rFont val="Arial"/>
        <family val="2"/>
      </rPr>
      <t>ANTICIPOS PROVEEDORES</t>
    </r>
  </si>
  <si>
    <r>
      <rPr>
        <sz val="12"/>
        <rFont val="Arial"/>
        <family val="2"/>
      </rPr>
      <t>OBRAS EN SOTANOS</t>
    </r>
  </si>
  <si>
    <r>
      <rPr>
        <sz val="12"/>
        <rFont val="Arial"/>
        <family val="2"/>
      </rPr>
      <t>FONDO REMODEL RECEPCION</t>
    </r>
  </si>
  <si>
    <r>
      <rPr>
        <sz val="11"/>
        <rFont val="Calibri"/>
        <family val="2"/>
      </rPr>
      <t>23353004</t>
    </r>
  </si>
  <si>
    <r>
      <rPr>
        <sz val="11"/>
        <rFont val="Calibri"/>
        <family val="2"/>
      </rPr>
      <t>23353003</t>
    </r>
  </si>
  <si>
    <r>
      <rPr>
        <sz val="11"/>
        <rFont val="Calibri"/>
        <family val="2"/>
      </rPr>
      <t>233595</t>
    </r>
  </si>
  <si>
    <r>
      <rPr>
        <sz val="11"/>
        <rFont val="Calibri"/>
        <family val="2"/>
      </rPr>
      <t>233525</t>
    </r>
  </si>
  <si>
    <r>
      <rPr>
        <sz val="11"/>
        <rFont val="Calibri"/>
        <family val="2"/>
      </rPr>
      <t>233556</t>
    </r>
  </si>
  <si>
    <r>
      <rPr>
        <sz val="11"/>
        <rFont val="Calibri"/>
        <family val="2"/>
      </rPr>
      <t>233550</t>
    </r>
  </si>
  <si>
    <r>
      <rPr>
        <sz val="11"/>
        <rFont val="Calibri"/>
        <family val="2"/>
      </rPr>
      <t>133095</t>
    </r>
  </si>
  <si>
    <r>
      <rPr>
        <sz val="11"/>
        <rFont val="Calibri"/>
        <family val="2"/>
      </rPr>
      <t>23353001</t>
    </r>
  </si>
  <si>
    <r>
      <rPr>
        <sz val="11"/>
        <rFont val="Calibri"/>
        <family val="2"/>
      </rPr>
      <t>23353501</t>
    </r>
  </si>
  <si>
    <r>
      <rPr>
        <sz val="11"/>
        <rFont val="Calibri"/>
        <family val="2"/>
      </rPr>
      <t>23353005</t>
    </r>
  </si>
  <si>
    <r>
      <rPr>
        <sz val="11"/>
        <rFont val="Calibri"/>
        <family val="2"/>
      </rPr>
      <t>133096</t>
    </r>
  </si>
  <si>
    <r>
      <rPr>
        <sz val="11"/>
        <rFont val="Calibri"/>
        <family val="2"/>
      </rPr>
      <t>23353504</t>
    </r>
  </si>
  <si>
    <t>TRASLADO A FIDUCIA</t>
  </si>
  <si>
    <t>Fiduciaria Colmena</t>
  </si>
  <si>
    <t>FONDO IMPREVISTOS</t>
  </si>
  <si>
    <t>POR RECAUDAR  ENERO A DIC/120</t>
  </si>
  <si>
    <r>
      <rPr>
        <sz val="12"/>
        <rFont val="Calibri"/>
        <family val="2"/>
      </rPr>
      <t>31001 Guzman T Guillermo C.C. 79230183</t>
    </r>
  </si>
  <si>
    <r>
      <rPr>
        <sz val="12"/>
        <rFont val="Calibri"/>
        <family val="2"/>
      </rPr>
      <t>APTO 3-1001</t>
    </r>
  </si>
  <si>
    <r>
      <rPr>
        <sz val="12"/>
        <rFont val="Calibri"/>
        <family val="2"/>
      </rPr>
      <t>41103 Jimenez Valderrama Javier Alberto C.C79456080</t>
    </r>
  </si>
  <si>
    <r>
      <rPr>
        <sz val="12"/>
        <rFont val="Calibri"/>
        <family val="2"/>
      </rPr>
      <t>APTO 4-1103</t>
    </r>
  </si>
  <si>
    <r>
      <rPr>
        <sz val="12"/>
        <rFont val="Calibri"/>
        <family val="2"/>
      </rPr>
      <t>11004 Salamanca Mojica Lidia C.C. 23.781.162</t>
    </r>
  </si>
  <si>
    <r>
      <rPr>
        <sz val="12"/>
        <rFont val="Calibri"/>
        <family val="2"/>
      </rPr>
      <t>APTO 1-1004</t>
    </r>
  </si>
  <si>
    <r>
      <rPr>
        <sz val="12"/>
        <rFont val="Calibri"/>
        <family val="2"/>
      </rPr>
      <t>51101 Paez Barreto Beatriz Adriana</t>
    </r>
  </si>
  <si>
    <r>
      <rPr>
        <sz val="12"/>
        <rFont val="Calibri"/>
        <family val="2"/>
      </rPr>
      <t>APTO 5-1101</t>
    </r>
  </si>
  <si>
    <r>
      <rPr>
        <sz val="12"/>
        <rFont val="Calibri"/>
        <family val="2"/>
      </rPr>
      <t>3603 Roa  Nubia Stella C.C. 51642699</t>
    </r>
  </si>
  <si>
    <r>
      <rPr>
        <sz val="12"/>
        <rFont val="Calibri"/>
        <family val="2"/>
      </rPr>
      <t>APTO 3-0603</t>
    </r>
  </si>
  <si>
    <t xml:space="preserve">1101 Gallo  Nestor </t>
  </si>
  <si>
    <r>
      <rPr>
        <sz val="12"/>
        <rFont val="Calibri"/>
        <family val="2"/>
      </rPr>
      <t xml:space="preserve">4403 Solis Melgarejo Janeth </t>
    </r>
  </si>
  <si>
    <r>
      <rPr>
        <sz val="12"/>
        <rFont val="Calibri"/>
        <family val="2"/>
      </rPr>
      <t>11102 Urrea Sarmiento Luis C.C. 71468</t>
    </r>
  </si>
  <si>
    <r>
      <rPr>
        <sz val="12"/>
        <rFont val="Calibri"/>
        <family val="2"/>
      </rPr>
      <t>APTO 1-1102</t>
    </r>
  </si>
  <si>
    <r>
      <rPr>
        <sz val="12"/>
        <rFont val="Calibri"/>
        <family val="2"/>
      </rPr>
      <t>4702 Ramirez Ramirez Martha Liliana Cc24728473</t>
    </r>
  </si>
  <si>
    <r>
      <rPr>
        <sz val="12"/>
        <rFont val="Calibri"/>
        <family val="2"/>
      </rPr>
      <t>APTO 4-0702</t>
    </r>
  </si>
  <si>
    <r>
      <rPr>
        <sz val="12"/>
        <rFont val="Calibri"/>
        <family val="2"/>
      </rPr>
      <t>5902 Frasser O  A. Alfred C.C. 17166484</t>
    </r>
  </si>
  <si>
    <r>
      <rPr>
        <sz val="12"/>
        <rFont val="Calibri"/>
        <family val="2"/>
      </rPr>
      <t>APTO 5-0902</t>
    </r>
  </si>
  <si>
    <r>
      <rPr>
        <sz val="12"/>
        <rFont val="Calibri"/>
        <family val="2"/>
      </rPr>
      <t>1304 Jaramillo Jaramillo Mercedes R C.C. 52645907</t>
    </r>
  </si>
  <si>
    <r>
      <rPr>
        <sz val="12"/>
        <rFont val="Calibri"/>
        <family val="2"/>
      </rPr>
      <t>APTO 1-0304</t>
    </r>
  </si>
  <si>
    <r>
      <rPr>
        <sz val="12"/>
        <rFont val="Calibri"/>
        <family val="2"/>
      </rPr>
      <t>1202 Villanueva  Stefanny C.C.</t>
    </r>
  </si>
  <si>
    <r>
      <rPr>
        <sz val="12"/>
        <rFont val="Calibri"/>
        <family val="2"/>
      </rPr>
      <t>APTO 1-0202</t>
    </r>
  </si>
  <si>
    <r>
      <rPr>
        <sz val="12"/>
        <rFont val="Calibri"/>
        <family val="2"/>
      </rPr>
      <t>4904 Peña Hernandez Flor Maria C.C. 20225466</t>
    </r>
  </si>
  <si>
    <r>
      <rPr>
        <sz val="12"/>
        <rFont val="Calibri"/>
        <family val="2"/>
      </rPr>
      <t>APTO 4-0904</t>
    </r>
  </si>
  <si>
    <r>
      <rPr>
        <sz val="12"/>
        <rFont val="Calibri"/>
        <family val="2"/>
      </rPr>
      <t>3103 Gonzalez  Victor Hugo C.C. 4922044</t>
    </r>
  </si>
  <si>
    <r>
      <rPr>
        <sz val="12"/>
        <rFont val="Calibri"/>
        <family val="2"/>
      </rPr>
      <t>APTO 3-0103</t>
    </r>
  </si>
  <si>
    <r>
      <rPr>
        <sz val="12"/>
        <rFont val="Calibri"/>
        <family val="2"/>
      </rPr>
      <t>2503 Castellanos Bohorquez Andrea C.C. 53107360</t>
    </r>
  </si>
  <si>
    <r>
      <rPr>
        <sz val="12"/>
        <rFont val="Calibri"/>
        <family val="2"/>
      </rPr>
      <t>APTO 2-0503</t>
    </r>
  </si>
  <si>
    <r>
      <rPr>
        <sz val="12"/>
        <rFont val="Calibri"/>
        <family val="2"/>
      </rPr>
      <t>61103 Ortiz  Maria Clara C.C. 41521316</t>
    </r>
  </si>
  <si>
    <r>
      <rPr>
        <sz val="12"/>
        <rFont val="Calibri"/>
        <family val="2"/>
      </rPr>
      <t>APTO 6-1103</t>
    </r>
  </si>
  <si>
    <r>
      <rPr>
        <sz val="12"/>
        <rFont val="Calibri"/>
        <family val="2"/>
      </rPr>
      <t>5203 Avila  P. Ricardo C.C. 79524659</t>
    </r>
  </si>
  <si>
    <r>
      <rPr>
        <sz val="12"/>
        <rFont val="Calibri"/>
        <family val="2"/>
      </rPr>
      <t>APTO 5-0203</t>
    </r>
  </si>
  <si>
    <r>
      <rPr>
        <sz val="12"/>
        <rFont val="Calibri"/>
        <family val="2"/>
      </rPr>
      <t>3703 Alonso  Adriana C.C. 52021089</t>
    </r>
  </si>
  <si>
    <r>
      <rPr>
        <sz val="12"/>
        <rFont val="Calibri"/>
        <family val="2"/>
      </rPr>
      <t>APTO 3-0703</t>
    </r>
  </si>
  <si>
    <r>
      <rPr>
        <sz val="12"/>
        <rFont val="Calibri"/>
        <family val="2"/>
      </rPr>
      <t>51204 Iregui Ortiz Maria Amparo C.C. 20325100</t>
    </r>
  </si>
  <si>
    <r>
      <rPr>
        <sz val="12"/>
        <rFont val="Calibri"/>
        <family val="2"/>
      </rPr>
      <t>APTO 5-1204</t>
    </r>
  </si>
  <si>
    <t xml:space="preserve">41102 Weiss  Edgar </t>
  </si>
  <si>
    <r>
      <rPr>
        <sz val="12"/>
        <rFont val="Calibri"/>
        <family val="2"/>
      </rPr>
      <t>1204 Vargas Blanco Juan Carlos C.C. 7223699</t>
    </r>
  </si>
  <si>
    <r>
      <rPr>
        <sz val="12"/>
        <rFont val="Calibri"/>
        <family val="2"/>
      </rPr>
      <t>APTO 1-0204</t>
    </r>
  </si>
  <si>
    <r>
      <rPr>
        <sz val="12"/>
        <rFont val="Calibri"/>
        <family val="2"/>
      </rPr>
      <t>1501 Ardila  Nelson Enrique C.C. 52358444</t>
    </r>
  </si>
  <si>
    <r>
      <rPr>
        <sz val="12"/>
        <rFont val="Calibri"/>
        <family val="2"/>
      </rPr>
      <t>APTO 1-0501</t>
    </r>
  </si>
  <si>
    <r>
      <rPr>
        <sz val="12"/>
        <rFont val="Calibri"/>
        <family val="2"/>
      </rPr>
      <t>41001 Bravo Ramirez Gildardo/ Rosalba Gonzalez De Bravo Cc 4904677-21065811</t>
    </r>
  </si>
  <si>
    <r>
      <rPr>
        <sz val="12"/>
        <rFont val="Calibri"/>
        <family val="2"/>
      </rPr>
      <t>APTO 4-1001</t>
    </r>
  </si>
  <si>
    <r>
      <rPr>
        <sz val="12"/>
        <rFont val="Calibri"/>
        <family val="2"/>
      </rPr>
      <t>3102 Lopez Diaz Rosa Aurora C.C. 52006206</t>
    </r>
  </si>
  <si>
    <r>
      <rPr>
        <sz val="12"/>
        <rFont val="Calibri"/>
        <family val="2"/>
      </rPr>
      <t>APTO 3-0102</t>
    </r>
  </si>
  <si>
    <r>
      <rPr>
        <sz val="12"/>
        <rFont val="Calibri"/>
        <family val="2"/>
      </rPr>
      <t xml:space="preserve">31204 Puerto  Luisa Fernanda </t>
    </r>
  </si>
  <si>
    <r>
      <rPr>
        <sz val="12"/>
        <rFont val="Calibri"/>
        <family val="2"/>
      </rPr>
      <t>3304 Parada Gonzalez Gustavo Cc 19123127</t>
    </r>
  </si>
  <si>
    <r>
      <rPr>
        <sz val="12"/>
        <rFont val="Calibri"/>
        <family val="2"/>
      </rPr>
      <t>APTO 3-0304</t>
    </r>
  </si>
  <si>
    <r>
      <rPr>
        <sz val="12"/>
        <rFont val="Calibri"/>
        <family val="2"/>
      </rPr>
      <t>6101 Mendez Pimentel Nidia Ruth       C.C.40760769</t>
    </r>
  </si>
  <si>
    <r>
      <rPr>
        <sz val="12"/>
        <rFont val="Calibri"/>
        <family val="2"/>
      </rPr>
      <t>4404 Diaz  Aura Enith C.C. 29656962</t>
    </r>
  </si>
  <si>
    <r>
      <rPr>
        <sz val="12"/>
        <rFont val="Calibri"/>
        <family val="2"/>
      </rPr>
      <t>4802 Alonso De Guevara Leonor C.C. 20.062.946</t>
    </r>
  </si>
  <si>
    <r>
      <rPr>
        <sz val="12"/>
        <rFont val="Calibri"/>
        <family val="2"/>
      </rPr>
      <t>APTO 4-0802</t>
    </r>
  </si>
  <si>
    <t>otros</t>
  </si>
  <si>
    <t>AL 31 ENERO/20</t>
  </si>
  <si>
    <t>CONSIG JULIO 30/18</t>
  </si>
  <si>
    <t>CONSIG JULIO 28/18</t>
  </si>
  <si>
    <t>FEB 28/20</t>
  </si>
  <si>
    <t>PARRA JOSE RAMIRO</t>
  </si>
  <si>
    <t>Sancion Inasistencia asamblea</t>
  </si>
  <si>
    <t>recuperacion intereses mora ap 4-102</t>
  </si>
  <si>
    <t>Servicio de Aseo y elementos</t>
  </si>
  <si>
    <t xml:space="preserve">T.P. </t>
  </si>
  <si>
    <t>Otros ( chip acceso)</t>
  </si>
  <si>
    <t>OTROS INGRESOS</t>
  </si>
  <si>
    <t>TRASLADO A FONDO (OTROS INGRESOS)</t>
  </si>
  <si>
    <r>
      <rPr>
        <sz val="12"/>
        <rFont val="Calibri"/>
        <family val="2"/>
      </rPr>
      <t>233550</t>
    </r>
  </si>
  <si>
    <r>
      <rPr>
        <sz val="12"/>
        <rFont val="Calibri"/>
        <family val="2"/>
      </rPr>
      <t>23353503</t>
    </r>
  </si>
  <si>
    <r>
      <rPr>
        <sz val="12"/>
        <rFont val="Calibri"/>
        <family val="2"/>
      </rPr>
      <t>23353003</t>
    </r>
  </si>
  <si>
    <r>
      <rPr>
        <sz val="12"/>
        <rFont val="Calibri"/>
        <family val="2"/>
      </rPr>
      <t>23353004</t>
    </r>
  </si>
  <si>
    <r>
      <rPr>
        <sz val="12"/>
        <rFont val="Calibri"/>
        <family val="2"/>
      </rPr>
      <t>233525</t>
    </r>
  </si>
  <si>
    <r>
      <rPr>
        <sz val="12"/>
        <rFont val="Calibri"/>
        <family val="2"/>
      </rPr>
      <t>233595</t>
    </r>
  </si>
  <si>
    <r>
      <rPr>
        <sz val="12"/>
        <rFont val="Calibri"/>
        <family val="2"/>
      </rPr>
      <t>233556</t>
    </r>
  </si>
  <si>
    <r>
      <rPr>
        <sz val="12"/>
        <rFont val="Calibri"/>
        <family val="2"/>
      </rPr>
      <t>23353001</t>
    </r>
  </si>
  <si>
    <r>
      <rPr>
        <sz val="12"/>
        <rFont val="Calibri"/>
        <family val="2"/>
      </rPr>
      <t>23353501</t>
    </r>
  </si>
  <si>
    <r>
      <rPr>
        <sz val="12"/>
        <rFont val="Calibri"/>
        <family val="2"/>
      </rPr>
      <t>23353502</t>
    </r>
  </si>
  <si>
    <r>
      <rPr>
        <sz val="12"/>
        <rFont val="Calibri"/>
        <family val="2"/>
      </rPr>
      <t>23353504</t>
    </r>
  </si>
  <si>
    <r>
      <rPr>
        <sz val="12"/>
        <rFont val="Calibri"/>
        <family val="2"/>
      </rPr>
      <t>233596</t>
    </r>
  </si>
  <si>
    <r>
      <rPr>
        <sz val="12"/>
        <rFont val="Calibri"/>
        <family val="2"/>
      </rPr>
      <t>23353505</t>
    </r>
  </si>
  <si>
    <t>OTROS FONDOS</t>
  </si>
  <si>
    <t>VARIAC</t>
  </si>
  <si>
    <t>recuperacion provision cuentas por cobrar admin AP 4-102</t>
  </si>
  <si>
    <t xml:space="preserve">INFORME CUENTAS POR COBRAR </t>
  </si>
  <si>
    <t>AL 29 FEBRERO DE 2.020</t>
  </si>
  <si>
    <t>J(Juridico)</t>
  </si>
  <si>
    <t>A (Acuerdo)</t>
  </si>
  <si>
    <r>
      <rPr>
        <b/>
        <sz val="12"/>
        <rFont val="Calibri"/>
        <family val="2"/>
      </rPr>
      <t>Total Otros</t>
    </r>
  </si>
  <si>
    <r>
      <rPr>
        <sz val="12"/>
        <rFont val="Calibri"/>
        <family val="2"/>
      </rPr>
      <t>Total Deuda</t>
    </r>
  </si>
  <si>
    <t xml:space="preserve">4501 Salazar  Alfonso </t>
  </si>
  <si>
    <t xml:space="preserve">1102 Jordan  Angelica </t>
  </si>
  <si>
    <t xml:space="preserve">4404 Diaz  Aura Enith </t>
  </si>
  <si>
    <t xml:space="preserve">31004 Blanco De  Irene </t>
  </si>
  <si>
    <r>
      <rPr>
        <sz val="12"/>
        <rFont val="Calibri"/>
        <family val="2"/>
      </rPr>
      <t>APTO 2-0704</t>
    </r>
  </si>
  <si>
    <r>
      <rPr>
        <sz val="12"/>
        <rFont val="Calibri"/>
        <family val="2"/>
      </rPr>
      <t>2704 Leon  Norma Leticia C.C. 41655788</t>
    </r>
  </si>
  <si>
    <r>
      <rPr>
        <sz val="12"/>
        <rFont val="Calibri"/>
        <family val="2"/>
      </rPr>
      <t>APTO 2-0504</t>
    </r>
  </si>
  <si>
    <r>
      <rPr>
        <sz val="12"/>
        <rFont val="Calibri"/>
        <family val="2"/>
      </rPr>
      <t>2504 Humanez  Emiro Benjamin C.C. 6876924</t>
    </r>
  </si>
  <si>
    <t xml:space="preserve">1201 Buhl  Jurgen </t>
  </si>
  <si>
    <r>
      <rPr>
        <sz val="12"/>
        <rFont val="Calibri"/>
        <family val="2"/>
      </rPr>
      <t>4403 Solis Melgarejo Janeth Astrid C.C. 52148758</t>
    </r>
  </si>
  <si>
    <r>
      <rPr>
        <sz val="12"/>
        <rFont val="Calibri"/>
        <family val="2"/>
      </rPr>
      <t xml:space="preserve">4704 Cardenas Vera Monica Natalia/ Rolando </t>
    </r>
  </si>
  <si>
    <r>
      <rPr>
        <sz val="12"/>
        <rFont val="Calibri"/>
        <family val="2"/>
      </rPr>
      <t>APTO 5-0802</t>
    </r>
  </si>
  <si>
    <t xml:space="preserve">5802 Paez  Alejandro </t>
  </si>
  <si>
    <t xml:space="preserve">6603 Diaz Arjona Alvaro </t>
  </si>
  <si>
    <t xml:space="preserve">5901 Hurtado  Oswaldo </t>
  </si>
  <si>
    <r>
      <rPr>
        <sz val="12"/>
        <rFont val="Calibri"/>
        <family val="2"/>
      </rPr>
      <t>APTO 5-0603</t>
    </r>
  </si>
  <si>
    <t xml:space="preserve">5603 Narvaez  Xiomara </t>
  </si>
  <si>
    <t xml:space="preserve">1702 Rodriguez  Wilson </t>
  </si>
  <si>
    <r>
      <rPr>
        <sz val="12"/>
        <rFont val="Calibri"/>
        <family val="2"/>
      </rPr>
      <t>APTO 1-0904</t>
    </r>
  </si>
  <si>
    <t xml:space="preserve">1904 Rozo  Luis Enrique </t>
  </si>
  <si>
    <r>
      <rPr>
        <sz val="12"/>
        <rFont val="Calibri"/>
        <family val="2"/>
      </rPr>
      <t>APTO 5-0801</t>
    </r>
  </si>
  <si>
    <r>
      <rPr>
        <sz val="12"/>
        <rFont val="Calibri"/>
        <family val="2"/>
      </rPr>
      <t>5801 Uribe  Jaime Mauricio C.C. 79279257</t>
    </r>
  </si>
  <si>
    <r>
      <rPr>
        <sz val="12"/>
        <rFont val="Calibri"/>
        <family val="2"/>
      </rPr>
      <t>APTO 4-0901</t>
    </r>
  </si>
  <si>
    <r>
      <rPr>
        <sz val="12"/>
        <rFont val="Calibri"/>
        <family val="2"/>
      </rPr>
      <t>4901 Higuera Duarte Gustavo C.C. 17155437</t>
    </r>
  </si>
  <si>
    <t>ADECUACION Y DOTACION  GIMNASIO</t>
  </si>
  <si>
    <t>CERTIFICACION ASCENSORES</t>
  </si>
  <si>
    <t>MANT PUERTAS VEHICULARES</t>
  </si>
  <si>
    <t xml:space="preserve">MANT EXTINTORES  </t>
  </si>
  <si>
    <t>LIMPIEZA TUBERIA AGUAS LLUVIAS Y PENDIENTES DE TUBERIAS</t>
  </si>
  <si>
    <t>MES/20</t>
  </si>
  <si>
    <t>AÑO/20</t>
  </si>
  <si>
    <t>OTROS HON- ASESORIA E IMPL PAG WEB</t>
  </si>
  <si>
    <t>MANT TUBERIAS AGUAS POTABLE- NEGRAS</t>
  </si>
  <si>
    <t>MANT CERCA ELECTRICA</t>
  </si>
  <si>
    <t>PROYECTOS NUEVOS PARA 2020</t>
  </si>
  <si>
    <t xml:space="preserve">ARREGLO HIDROSANITARIO T 1 APTO 104 </t>
  </si>
  <si>
    <t>CAMBIO DUCTO SHUT DE BASURAS Y VENTILACIONES</t>
  </si>
  <si>
    <t>CONSTRUCCION EYECTORA T 4</t>
  </si>
  <si>
    <t xml:space="preserve">ENCHAPE CUARTO DE BASURAS T 3 </t>
  </si>
  <si>
    <t>ENCHAPE JARDINERAS PLAZOLETA CENTRAL</t>
  </si>
  <si>
    <t>ENCHAPE SHUT DE BASURA TORRE 4</t>
  </si>
  <si>
    <t>ENCHAPE SHUT DE BASURA TORRE 5</t>
  </si>
  <si>
    <t>ENCHAPE SHUT DE BASURA TORRE 6</t>
  </si>
  <si>
    <t xml:space="preserve">LIMPIEZA DE TUBERIAS DE AGUAS NEGRAS Y LLUVIAS (VACTOR) </t>
  </si>
  <si>
    <t xml:space="preserve">MARCO Y TAPAS DUCTOS DE BASURA </t>
  </si>
  <si>
    <t>PINTURA CANAL ALFAJOR</t>
  </si>
  <si>
    <t>OTROS GASTOS NO PRESUPUESTADOS (IMPREVISTOS)</t>
  </si>
  <si>
    <t>CAMBIO PISO POROSO SOTANO 2</t>
  </si>
  <si>
    <t>cuenta</t>
  </si>
  <si>
    <r>
      <rPr>
        <sz val="12"/>
        <rFont val="Calibri"/>
        <family val="2"/>
      </rPr>
      <t>23353005</t>
    </r>
  </si>
  <si>
    <r>
      <rPr>
        <sz val="12"/>
        <rFont val="Calibri"/>
        <family val="2"/>
      </rPr>
      <t>23353508</t>
    </r>
  </si>
  <si>
    <t>MANT PUERTAS</t>
  </si>
  <si>
    <t>ESTADO</t>
  </si>
  <si>
    <r>
      <rPr>
        <sz val="12"/>
        <rFont val="Calibri"/>
        <family val="2"/>
      </rPr>
      <t>Inmueble</t>
    </r>
  </si>
  <si>
    <r>
      <rPr>
        <sz val="12"/>
        <rFont val="Calibri"/>
        <family val="2"/>
      </rPr>
      <t>Nombre</t>
    </r>
  </si>
  <si>
    <r>
      <rPr>
        <sz val="12"/>
        <rFont val="Calibri"/>
        <family val="2"/>
      </rPr>
      <t>Cuotas De Administracion</t>
    </r>
  </si>
  <si>
    <r>
      <rPr>
        <sz val="12"/>
        <rFont val="Calibri"/>
        <family val="2"/>
      </rPr>
      <t>Cuota Extraordinaria Fachadas-</t>
    </r>
  </si>
  <si>
    <r>
      <rPr>
        <sz val="12"/>
        <rFont val="Calibri"/>
        <family val="2"/>
      </rPr>
      <t xml:space="preserve">Sanciones, Recargos Y Multas De </t>
    </r>
  </si>
  <si>
    <r>
      <rPr>
        <sz val="12"/>
        <rFont val="Calibri"/>
        <family val="2"/>
      </rPr>
      <t>Sancion Parqueadero Visitantes</t>
    </r>
  </si>
  <si>
    <r>
      <rPr>
        <sz val="12"/>
        <rFont val="Calibri"/>
        <family val="2"/>
      </rPr>
      <t>Intereses De Mora Administracion</t>
    </r>
  </si>
  <si>
    <r>
      <rPr>
        <sz val="12"/>
        <rFont val="Calibri"/>
        <family val="2"/>
      </rPr>
      <t>Total Otros</t>
    </r>
  </si>
  <si>
    <r>
      <rPr>
        <sz val="12"/>
        <rFont val="Calibri"/>
        <family val="2"/>
      </rPr>
      <t>3903 Bayona Gonzalez Orlando</t>
    </r>
  </si>
  <si>
    <r>
      <rPr>
        <sz val="12"/>
        <color rgb="FFFF0000"/>
        <rFont val="Calibri"/>
        <family val="2"/>
      </rPr>
      <t>A</t>
    </r>
  </si>
  <si>
    <r>
      <rPr>
        <sz val="12"/>
        <rFont val="Calibri"/>
        <family val="2"/>
      </rPr>
      <t>APTO 5-0604</t>
    </r>
  </si>
  <si>
    <r>
      <rPr>
        <sz val="12"/>
        <rFont val="Calibri"/>
        <family val="2"/>
      </rPr>
      <t>5604 Dominguez Alberto</t>
    </r>
  </si>
  <si>
    <r>
      <rPr>
        <sz val="12"/>
        <rFont val="Calibri"/>
        <family val="2"/>
      </rPr>
      <t>APTO 4-0101</t>
    </r>
  </si>
  <si>
    <r>
      <rPr>
        <sz val="12"/>
        <rFont val="Calibri"/>
        <family val="2"/>
      </rPr>
      <t>4101 Sarmiento  Sandra C.C. 35510665</t>
    </r>
  </si>
  <si>
    <r>
      <rPr>
        <sz val="12"/>
        <rFont val="Calibri"/>
        <family val="2"/>
      </rPr>
      <t>APTO 2-0905</t>
    </r>
  </si>
  <si>
    <r>
      <rPr>
        <sz val="12"/>
        <rFont val="Calibri"/>
        <family val="2"/>
      </rPr>
      <t>2905 Novoa Vaca Jose Reyes 17074141</t>
    </r>
  </si>
  <si>
    <r>
      <rPr>
        <sz val="12"/>
        <rFont val="Calibri"/>
        <family val="2"/>
      </rPr>
      <t>APTO 5-0601</t>
    </r>
  </si>
  <si>
    <r>
      <rPr>
        <sz val="12"/>
        <rFont val="Calibri"/>
        <family val="2"/>
      </rPr>
      <t>5601 Dager N. Sandra C.C. 35508483</t>
    </r>
  </si>
  <si>
    <r>
      <rPr>
        <sz val="12"/>
        <rFont val="Calibri"/>
        <family val="2"/>
      </rPr>
      <t>APTO 1-1201</t>
    </r>
  </si>
  <si>
    <r>
      <rPr>
        <sz val="12"/>
        <rFont val="Calibri"/>
        <family val="2"/>
      </rPr>
      <t>11201 Ochoa Ingrid  C.C. 52.766.043</t>
    </r>
  </si>
  <si>
    <r>
      <rPr>
        <sz val="12"/>
        <rFont val="Calibri"/>
        <family val="2"/>
      </rPr>
      <t>APTO 4-1002</t>
    </r>
  </si>
  <si>
    <r>
      <rPr>
        <sz val="12"/>
        <rFont val="Calibri"/>
        <family val="2"/>
      </rPr>
      <t xml:space="preserve">41002 Rojas Franco Daniel </t>
    </r>
  </si>
  <si>
    <r>
      <rPr>
        <sz val="12"/>
        <rFont val="Calibri"/>
        <family val="2"/>
      </rPr>
      <t>5603 Narvaez  Xiomara C.C. 52264434</t>
    </r>
  </si>
  <si>
    <r>
      <rPr>
        <sz val="12"/>
        <rFont val="Calibri"/>
        <family val="2"/>
      </rPr>
      <t>1904 Rozo  Luis Enrique C.C 19.154.214</t>
    </r>
  </si>
  <si>
    <r>
      <rPr>
        <sz val="12"/>
        <rFont val="Calibri"/>
        <family val="2"/>
      </rPr>
      <t>APTO 6-1002</t>
    </r>
  </si>
  <si>
    <r>
      <rPr>
        <sz val="12"/>
        <rFont val="Calibri"/>
        <family val="2"/>
      </rPr>
      <t>61002 Trujillo Acevedo Jennifer Melissa Cc 1.018.414.739</t>
    </r>
  </si>
  <si>
    <r>
      <rPr>
        <sz val="12"/>
        <rFont val="Calibri"/>
        <family val="2"/>
      </rPr>
      <t>APTO 1-1203</t>
    </r>
  </si>
  <si>
    <r>
      <rPr>
        <sz val="12"/>
        <rFont val="Calibri"/>
        <family val="2"/>
      </rPr>
      <t>11203 Torres Martinez Medardo/ Bohorquez Amparo Cc 51594923</t>
    </r>
  </si>
  <si>
    <t>AL 31 DE MARZO /20</t>
  </si>
  <si>
    <r>
      <rPr>
        <b/>
        <sz val="12"/>
        <rFont val="Times New Roman"/>
        <family val="1"/>
      </rPr>
      <t>CONJUNTO RESIDENCIAL NOGALES DE LA COLINA PH</t>
    </r>
  </si>
  <si>
    <r>
      <rPr>
        <b/>
        <sz val="12"/>
        <rFont val="Times New Roman"/>
        <family val="1"/>
      </rPr>
      <t>Libro Auxiliar Con Saldo Entre   01/01/2020  y  30/04/2020</t>
    </r>
  </si>
  <si>
    <r>
      <rPr>
        <sz val="12"/>
        <rFont val="Calibri"/>
        <family val="2"/>
      </rPr>
      <t>Con movimientos de 'Normas de información financiera'</t>
    </r>
  </si>
  <si>
    <r>
      <rPr>
        <b/>
        <sz val="12"/>
        <rFont val="Times New Roman"/>
        <family val="1"/>
      </rPr>
      <t>Tercero</t>
    </r>
  </si>
  <si>
    <r>
      <rPr>
        <b/>
        <sz val="12"/>
        <rFont val="Times New Roman"/>
        <family val="1"/>
      </rPr>
      <t>331001     OBRAS EN SOTANOS</t>
    </r>
  </si>
  <si>
    <t>sotanos</t>
  </si>
  <si>
    <r>
      <rPr>
        <b/>
        <sz val="12"/>
        <rFont val="Times New Roman"/>
        <family val="1"/>
      </rPr>
      <t>Saldo Anterior</t>
    </r>
  </si>
  <si>
    <r>
      <rPr>
        <sz val="12"/>
        <rFont val="Times New Roman"/>
        <family val="1"/>
      </rPr>
      <t>CP 3331</t>
    </r>
  </si>
  <si>
    <r>
      <rPr>
        <sz val="12"/>
        <rFont val="Times New Roman"/>
        <family val="1"/>
      </rPr>
      <t>Trabajos Electricos Sotanos 1y2</t>
    </r>
  </si>
  <si>
    <r>
      <rPr>
        <sz val="12"/>
        <rFont val="Times New Roman"/>
        <family val="1"/>
      </rPr>
      <t>19105732 4</t>
    </r>
  </si>
  <si>
    <t>trasladar</t>
  </si>
  <si>
    <r>
      <rPr>
        <sz val="12"/>
        <color rgb="FFFF0000"/>
        <rFont val="Times New Roman"/>
        <family val="1"/>
      </rPr>
      <t>CP 3330</t>
    </r>
  </si>
  <si>
    <r>
      <rPr>
        <sz val="12"/>
        <color rgb="FFFF0000"/>
        <rFont val="Times New Roman"/>
        <family val="1"/>
      </rPr>
      <t xml:space="preserve">Rep Lamina Alfajor Sot1- Retiro </t>
    </r>
  </si>
  <si>
    <r>
      <rPr>
        <sz val="12"/>
        <color rgb="FFFF0000"/>
        <rFont val="Times New Roman"/>
        <family val="1"/>
      </rPr>
      <t>1105672567 9</t>
    </r>
  </si>
  <si>
    <t>adicion contrato canales</t>
  </si>
  <si>
    <t>rep locativas</t>
  </si>
  <si>
    <r>
      <rPr>
        <sz val="12"/>
        <color rgb="FFFF0000"/>
        <rFont val="Times New Roman"/>
        <family val="1"/>
      </rPr>
      <t>CP 3335</t>
    </r>
  </si>
  <si>
    <r>
      <rPr>
        <sz val="12"/>
        <color rgb="FFFF0000"/>
        <rFont val="Times New Roman"/>
        <family val="1"/>
      </rPr>
      <t xml:space="preserve">Compra Tornillos Instalaciones </t>
    </r>
  </si>
  <si>
    <r>
      <rPr>
        <sz val="12"/>
        <color rgb="FFFF0000"/>
        <rFont val="Times New Roman"/>
        <family val="1"/>
      </rPr>
      <t>19105732 4</t>
    </r>
  </si>
  <si>
    <t>adicion contr electrico</t>
  </si>
  <si>
    <t>instal elect</t>
  </si>
  <si>
    <r>
      <rPr>
        <sz val="12"/>
        <color rgb="FFFF0000"/>
        <rFont val="Times New Roman"/>
        <family val="1"/>
      </rPr>
      <t>Tornillos Sensores Sotanos</t>
    </r>
  </si>
  <si>
    <r>
      <rPr>
        <sz val="12"/>
        <color rgb="FFFF0000"/>
        <rFont val="Times New Roman"/>
        <family val="1"/>
      </rPr>
      <t>Tapas Ciegas Sotanos</t>
    </r>
  </si>
  <si>
    <r>
      <rPr>
        <sz val="12"/>
        <color rgb="FFFF0000"/>
        <rFont val="Times New Roman"/>
        <family val="1"/>
      </rPr>
      <t xml:space="preserve">Curvas Y Terminales Electricos </t>
    </r>
  </si>
  <si>
    <r>
      <rPr>
        <sz val="12"/>
        <color rgb="FFFF0000"/>
        <rFont val="Times New Roman"/>
        <family val="1"/>
      </rPr>
      <t>Terminalestubo Pvc 1/2</t>
    </r>
  </si>
  <si>
    <r>
      <rPr>
        <sz val="12"/>
        <color rgb="FFFF0000"/>
        <rFont val="Times New Roman"/>
        <family val="1"/>
      </rPr>
      <t xml:space="preserve">Grapa Galvanizada Electricos </t>
    </r>
  </si>
  <si>
    <r>
      <rPr>
        <sz val="12"/>
        <color rgb="FFFF0000"/>
        <rFont val="Times New Roman"/>
        <family val="1"/>
      </rPr>
      <t>3417498 6</t>
    </r>
  </si>
  <si>
    <r>
      <rPr>
        <sz val="12"/>
        <color rgb="FFFF0000"/>
        <rFont val="Times New Roman"/>
        <family val="1"/>
      </rPr>
      <t>Materiales Electricos Sotanos</t>
    </r>
  </si>
  <si>
    <r>
      <rPr>
        <sz val="12"/>
        <color rgb="FFFF0000"/>
        <rFont val="Times New Roman"/>
        <family val="1"/>
      </rPr>
      <t>395421392 2</t>
    </r>
  </si>
  <si>
    <r>
      <rPr>
        <sz val="12"/>
        <color rgb="FFFF0000"/>
        <rFont val="Times New Roman"/>
        <family val="1"/>
      </rPr>
      <t>Sensores Lamparas Cintas</t>
    </r>
  </si>
  <si>
    <r>
      <rPr>
        <sz val="12"/>
        <color rgb="FFFF0000"/>
        <rFont val="Times New Roman"/>
        <family val="1"/>
      </rPr>
      <t>75001644 0</t>
    </r>
  </si>
  <si>
    <r>
      <rPr>
        <sz val="12"/>
        <color rgb="FFFF0000"/>
        <rFont val="Times New Roman"/>
        <family val="1"/>
      </rPr>
      <t>Sensor Y Lamaparas Sotanos</t>
    </r>
  </si>
  <si>
    <r>
      <rPr>
        <sz val="12"/>
        <color rgb="FFFF0000"/>
        <rFont val="Times New Roman"/>
        <family val="1"/>
      </rPr>
      <t>800237412 1</t>
    </r>
  </si>
  <si>
    <r>
      <rPr>
        <sz val="12"/>
        <color rgb="FFFF0000"/>
        <rFont val="Times New Roman"/>
        <family val="1"/>
      </rPr>
      <t xml:space="preserve">Tiro Master- Pernos Electricos </t>
    </r>
  </si>
  <si>
    <r>
      <rPr>
        <sz val="12"/>
        <color rgb="FFFF0000"/>
        <rFont val="Times New Roman"/>
        <family val="1"/>
      </rPr>
      <t>900413305 9</t>
    </r>
  </si>
  <si>
    <r>
      <rPr>
        <sz val="12"/>
        <color rgb="FFFF0000"/>
        <rFont val="Times New Roman"/>
        <family val="1"/>
      </rPr>
      <t>900511438 1</t>
    </r>
  </si>
  <si>
    <r>
      <rPr>
        <sz val="12"/>
        <color rgb="FFFF0000"/>
        <rFont val="Times New Roman"/>
        <family val="1"/>
      </rPr>
      <t>Caja Octagonal Pvc-Tubo Led</t>
    </r>
  </si>
  <si>
    <r>
      <rPr>
        <sz val="12"/>
        <color rgb="FFFF0000"/>
        <rFont val="Times New Roman"/>
        <family val="1"/>
      </rPr>
      <t>CP 3348</t>
    </r>
  </si>
  <si>
    <r>
      <rPr>
        <sz val="12"/>
        <color rgb="FFFF0000"/>
        <rFont val="Times New Roman"/>
        <family val="1"/>
      </rPr>
      <t>Fv32652 Varilla1/2- Sot</t>
    </r>
  </si>
  <si>
    <r>
      <rPr>
        <sz val="12"/>
        <color rgb="FFFF0000"/>
        <rFont val="Times New Roman"/>
        <family val="1"/>
      </rPr>
      <t>901012876 5</t>
    </r>
  </si>
  <si>
    <r>
      <rPr>
        <sz val="12"/>
        <color rgb="FFFF0000"/>
        <rFont val="Times New Roman"/>
        <family val="1"/>
      </rPr>
      <t xml:space="preserve">Fv33152 Unio Codos - Canales </t>
    </r>
  </si>
  <si>
    <r>
      <rPr>
        <sz val="12"/>
        <color rgb="FFFF0000"/>
        <rFont val="Times New Roman"/>
        <family val="1"/>
      </rPr>
      <t>Fv33128 Sikaflex- Canales Sot</t>
    </r>
  </si>
  <si>
    <r>
      <rPr>
        <sz val="12"/>
        <color rgb="FFFF0000"/>
        <rFont val="Times New Roman"/>
        <family val="1"/>
      </rPr>
      <t xml:space="preserve">Fv33127 Buje Codo Union- </t>
    </r>
  </si>
  <si>
    <r>
      <rPr>
        <sz val="12"/>
        <color rgb="FFFF0000"/>
        <rFont val="Times New Roman"/>
        <family val="1"/>
      </rPr>
      <t>Fv32654 20 Sikaflex</t>
    </r>
  </si>
  <si>
    <r>
      <rPr>
        <sz val="12"/>
        <color rgb="FFFF0000"/>
        <rFont val="Times New Roman"/>
        <family val="1"/>
      </rPr>
      <t xml:space="preserve">Fv32653 Chazos Remache Broca  </t>
    </r>
  </si>
  <si>
    <t>presupuest /20</t>
  </si>
  <si>
    <r>
      <rPr>
        <sz val="12"/>
        <color rgb="FFFF0000"/>
        <rFont val="Times New Roman"/>
        <family val="1"/>
      </rPr>
      <t>CP 3350</t>
    </r>
  </si>
  <si>
    <r>
      <rPr>
        <sz val="12"/>
        <color rgb="FFFF0000"/>
        <rFont val="Times New Roman"/>
        <family val="1"/>
      </rPr>
      <t xml:space="preserve">Instal 22 Puntos Elec Parq1- 22 </t>
    </r>
  </si>
  <si>
    <r>
      <rPr>
        <sz val="12"/>
        <color rgb="FFFF0000"/>
        <rFont val="Times New Roman"/>
        <family val="1"/>
      </rPr>
      <t>CP 3366</t>
    </r>
  </si>
  <si>
    <r>
      <rPr>
        <sz val="12"/>
        <color rgb="FFFF0000"/>
        <rFont val="Times New Roman"/>
        <family val="1"/>
      </rPr>
      <t>Fv33735 Tubos Te Estopa</t>
    </r>
  </si>
  <si>
    <r>
      <rPr>
        <sz val="12"/>
        <color rgb="FFFF0000"/>
        <rFont val="Times New Roman"/>
        <family val="1"/>
      </rPr>
      <t xml:space="preserve">Fv33732  Remaches Codos </t>
    </r>
  </si>
  <si>
    <r>
      <rPr>
        <sz val="12"/>
        <color rgb="FFFF0000"/>
        <rFont val="Times New Roman"/>
        <family val="1"/>
      </rPr>
      <t>Fv33733 Tubos Sot2</t>
    </r>
  </si>
  <si>
    <r>
      <rPr>
        <sz val="12"/>
        <color rgb="FFFF0000"/>
        <rFont val="Times New Roman"/>
        <family val="1"/>
      </rPr>
      <t>Fv33737 Sifones Sot1</t>
    </r>
  </si>
  <si>
    <r>
      <rPr>
        <sz val="12"/>
        <color rgb="FFFF0000"/>
        <rFont val="Times New Roman"/>
        <family val="1"/>
      </rPr>
      <t>Fv33734 Codos Tee- Brocas</t>
    </r>
  </si>
  <si>
    <r>
      <rPr>
        <sz val="12"/>
        <rFont val="Times New Roman"/>
        <family val="1"/>
      </rPr>
      <t>CP 3375</t>
    </r>
  </si>
  <si>
    <r>
      <rPr>
        <sz val="12"/>
        <rFont val="Times New Roman"/>
        <family val="1"/>
      </rPr>
      <t xml:space="preserve">Mo Pintura Demarc Parquead </t>
    </r>
  </si>
  <si>
    <r>
      <rPr>
        <sz val="12"/>
        <rFont val="Times New Roman"/>
        <family val="1"/>
      </rPr>
      <t>79567278 1</t>
    </r>
  </si>
  <si>
    <r>
      <rPr>
        <b/>
        <sz val="12"/>
        <rFont val="Times New Roman"/>
        <family val="1"/>
      </rPr>
      <t>331002     OTRAS OBRAS y PROYECTO MENORES</t>
    </r>
  </si>
  <si>
    <r>
      <rPr>
        <sz val="12"/>
        <rFont val="Times New Roman"/>
        <family val="1"/>
      </rPr>
      <t>CC 898</t>
    </r>
  </si>
  <si>
    <r>
      <rPr>
        <sz val="12"/>
        <rFont val="Times New Roman"/>
        <family val="1"/>
      </rPr>
      <t>Trasl Rendimientos Finan</t>
    </r>
  </si>
  <si>
    <r>
      <rPr>
        <sz val="12"/>
        <rFont val="Times New Roman"/>
        <family val="1"/>
      </rPr>
      <t>830133786 2</t>
    </r>
  </si>
  <si>
    <r>
      <rPr>
        <sz val="12"/>
        <rFont val="Times New Roman"/>
        <family val="1"/>
      </rPr>
      <t xml:space="preserve">Trasl Otros Ingresos A Fondo </t>
    </r>
  </si>
  <si>
    <r>
      <rPr>
        <sz val="12"/>
        <rFont val="Times New Roman"/>
        <family val="1"/>
      </rPr>
      <t>Trasl Ing Uso Salon Social</t>
    </r>
  </si>
  <si>
    <r>
      <rPr>
        <sz val="12"/>
        <rFont val="Times New Roman"/>
        <family val="1"/>
      </rPr>
      <t>Uso Zonas Comunes Parq</t>
    </r>
  </si>
  <si>
    <r>
      <rPr>
        <sz val="12"/>
        <rFont val="Times New Roman"/>
        <family val="1"/>
      </rPr>
      <t>Trasl Causacion Int Mora Ene/20</t>
    </r>
  </si>
  <si>
    <r>
      <rPr>
        <sz val="12"/>
        <rFont val="Times New Roman"/>
        <family val="1"/>
      </rPr>
      <t>CP 3326</t>
    </r>
  </si>
  <si>
    <r>
      <rPr>
        <sz val="12"/>
        <rFont val="Times New Roman"/>
        <family val="1"/>
      </rPr>
      <t xml:space="preserve">Iva Fv888 12 Acrilicos </t>
    </r>
  </si>
  <si>
    <r>
      <rPr>
        <sz val="12"/>
        <rFont val="Times New Roman"/>
        <family val="1"/>
      </rPr>
      <t>900453644 1</t>
    </r>
  </si>
  <si>
    <r>
      <rPr>
        <sz val="12"/>
        <rFont val="Times New Roman"/>
        <family val="1"/>
      </rPr>
      <t xml:space="preserve">Fv888 12 Acrilicos Carteleras- 10 </t>
    </r>
  </si>
  <si>
    <r>
      <rPr>
        <sz val="12"/>
        <rFont val="Times New Roman"/>
        <family val="1"/>
      </rPr>
      <t>Fv888 10 Placas Carros -Señal</t>
    </r>
  </si>
  <si>
    <r>
      <rPr>
        <sz val="12"/>
        <rFont val="Times New Roman"/>
        <family val="1"/>
      </rPr>
      <t xml:space="preserve">Fv888 12 Marco Aluminio </t>
    </r>
  </si>
  <si>
    <r>
      <rPr>
        <sz val="12"/>
        <rFont val="Times New Roman"/>
        <family val="1"/>
      </rPr>
      <t>CP 3329</t>
    </r>
  </si>
  <si>
    <r>
      <rPr>
        <sz val="12"/>
        <rFont val="Times New Roman"/>
        <family val="1"/>
      </rPr>
      <t xml:space="preserve">Iva Fv30 Computador Corei3- 1 </t>
    </r>
  </si>
  <si>
    <r>
      <rPr>
        <sz val="12"/>
        <rFont val="Times New Roman"/>
        <family val="1"/>
      </rPr>
      <t>79513583 1</t>
    </r>
  </si>
  <si>
    <r>
      <rPr>
        <sz val="12"/>
        <rFont val="Times New Roman"/>
        <family val="1"/>
      </rPr>
      <t>Fv30 2 Licencia Office-</t>
    </r>
  </si>
  <si>
    <r>
      <rPr>
        <sz val="12"/>
        <rFont val="Times New Roman"/>
        <family val="1"/>
      </rPr>
      <t xml:space="preserve">Fv30 Computador Corei3- 1 </t>
    </r>
  </si>
  <si>
    <r>
      <rPr>
        <sz val="12"/>
        <rFont val="Times New Roman"/>
        <family val="1"/>
      </rPr>
      <t>Fv30  1 Lic Antivirus Nod32</t>
    </r>
  </si>
  <si>
    <r>
      <rPr>
        <sz val="12"/>
        <rFont val="Times New Roman"/>
        <family val="1"/>
      </rPr>
      <t>Fv30 2  Licencia Windows</t>
    </r>
  </si>
  <si>
    <r>
      <rPr>
        <sz val="12"/>
        <rFont val="Times New Roman"/>
        <family val="1"/>
      </rPr>
      <t>Fv30 M.O Instal Computador</t>
    </r>
  </si>
  <si>
    <r>
      <rPr>
        <sz val="12"/>
        <rFont val="Times New Roman"/>
        <family val="1"/>
      </rPr>
      <t>CC 901</t>
    </r>
  </si>
  <si>
    <r>
      <rPr>
        <sz val="12"/>
        <rFont val="Times New Roman"/>
        <family val="1"/>
      </rPr>
      <t>Trasl Otras Cuotas A Fondo Feb-</t>
    </r>
  </si>
  <si>
    <r>
      <rPr>
        <sz val="12"/>
        <rFont val="Times New Roman"/>
        <family val="1"/>
      </rPr>
      <t>Trasl Rev Sancion Asamb</t>
    </r>
  </si>
  <si>
    <r>
      <rPr>
        <sz val="12"/>
        <rFont val="Times New Roman"/>
        <family val="1"/>
      </rPr>
      <t>Trasl Recup Deuda Ap4-102</t>
    </r>
  </si>
  <si>
    <r>
      <rPr>
        <sz val="12"/>
        <rFont val="Times New Roman"/>
        <family val="1"/>
      </rPr>
      <t>CP 3353</t>
    </r>
  </si>
  <si>
    <r>
      <rPr>
        <sz val="12"/>
        <rFont val="Times New Roman"/>
        <family val="1"/>
      </rPr>
      <t xml:space="preserve">1 Forro Para Ascensor Color </t>
    </r>
  </si>
  <si>
    <r>
      <rPr>
        <sz val="12"/>
        <rFont val="Times New Roman"/>
        <family val="1"/>
      </rPr>
      <t>51880461 2</t>
    </r>
  </si>
  <si>
    <r>
      <rPr>
        <sz val="12"/>
        <rFont val="Times New Roman"/>
        <family val="1"/>
      </rPr>
      <t xml:space="preserve">1 Forro Para Carro De Mercado- </t>
    </r>
  </si>
  <si>
    <r>
      <rPr>
        <sz val="12"/>
        <rFont val="Times New Roman"/>
        <family val="1"/>
      </rPr>
      <t>CP 3367</t>
    </r>
  </si>
  <si>
    <r>
      <rPr>
        <sz val="12"/>
        <rFont val="Times New Roman"/>
        <family val="1"/>
      </rPr>
      <t xml:space="preserve">Iva Pintura Parq Nivel1 Amarilla- </t>
    </r>
  </si>
  <si>
    <r>
      <rPr>
        <sz val="12"/>
        <rFont val="Times New Roman"/>
        <family val="1"/>
      </rPr>
      <t>830075451 1</t>
    </r>
  </si>
  <si>
    <t>fondo sotanos</t>
  </si>
  <si>
    <r>
      <rPr>
        <sz val="12"/>
        <rFont val="Times New Roman"/>
        <family val="1"/>
      </rPr>
      <t xml:space="preserve">Fv43853 Pintura Amarilla- Azul- </t>
    </r>
  </si>
  <si>
    <r>
      <rPr>
        <sz val="12"/>
        <rFont val="Times New Roman"/>
        <family val="1"/>
      </rPr>
      <t>CP 3369</t>
    </r>
  </si>
  <si>
    <r>
      <rPr>
        <sz val="12"/>
        <rFont val="Times New Roman"/>
        <family val="1"/>
      </rPr>
      <t xml:space="preserve">Iva Fe41000688 Tv Led 65 Pulg </t>
    </r>
  </si>
  <si>
    <r>
      <rPr>
        <sz val="12"/>
        <rFont val="Times New Roman"/>
        <family val="1"/>
      </rPr>
      <t>900155107 1</t>
    </r>
  </si>
  <si>
    <r>
      <rPr>
        <sz val="12"/>
        <rFont val="Times New Roman"/>
        <family val="1"/>
      </rPr>
      <t xml:space="preserve">Fe41000688 Tv Led 65 Pulg </t>
    </r>
  </si>
  <si>
    <r>
      <rPr>
        <sz val="12"/>
        <color rgb="FFFF0000"/>
        <rFont val="Times New Roman"/>
        <family val="1"/>
      </rPr>
      <t>CP 3370</t>
    </r>
  </si>
  <si>
    <r>
      <rPr>
        <sz val="12"/>
        <color rgb="FFFF0000"/>
        <rFont val="Times New Roman"/>
        <family val="1"/>
      </rPr>
      <t xml:space="preserve">Diseño Interior Remodelacion </t>
    </r>
  </si>
  <si>
    <r>
      <rPr>
        <sz val="12"/>
        <color rgb="FFFF0000"/>
        <rFont val="Times New Roman"/>
        <family val="1"/>
      </rPr>
      <t>1032465298 0</t>
    </r>
  </si>
  <si>
    <t>fondo recepcion</t>
  </si>
  <si>
    <r>
      <rPr>
        <sz val="12"/>
        <rFont val="Times New Roman"/>
        <family val="1"/>
      </rPr>
      <t>CG 68</t>
    </r>
  </si>
  <si>
    <r>
      <rPr>
        <sz val="12"/>
        <rFont val="Times New Roman"/>
        <family val="1"/>
      </rPr>
      <t>Instalacion Tv Oficina</t>
    </r>
  </si>
  <si>
    <r>
      <rPr>
        <sz val="12"/>
        <rFont val="Times New Roman"/>
        <family val="1"/>
      </rPr>
      <t>1024478332 0</t>
    </r>
  </si>
  <si>
    <r>
      <rPr>
        <sz val="12"/>
        <rFont val="Times New Roman"/>
        <family val="1"/>
      </rPr>
      <t>CP 3373</t>
    </r>
  </si>
  <si>
    <r>
      <rPr>
        <sz val="12"/>
        <rFont val="Times New Roman"/>
        <family val="1"/>
      </rPr>
      <t xml:space="preserve">Arrend Anual -Hosting- Pagina </t>
    </r>
  </si>
  <si>
    <r>
      <rPr>
        <sz val="12"/>
        <rFont val="Times New Roman"/>
        <family val="1"/>
      </rPr>
      <t>79980743 5</t>
    </r>
  </si>
  <si>
    <r>
      <rPr>
        <sz val="12"/>
        <rFont val="Times New Roman"/>
        <family val="1"/>
      </rPr>
      <t xml:space="preserve">Desarrollo Pagina Web- Compra </t>
    </r>
  </si>
  <si>
    <r>
      <rPr>
        <sz val="12"/>
        <rFont val="Times New Roman"/>
        <family val="1"/>
      </rPr>
      <t>CC 905</t>
    </r>
  </si>
  <si>
    <r>
      <rPr>
        <sz val="12"/>
        <rFont val="Times New Roman"/>
        <family val="1"/>
      </rPr>
      <t xml:space="preserve">Trasl Causacion Int Mora </t>
    </r>
  </si>
  <si>
    <r>
      <rPr>
        <b/>
        <sz val="12"/>
        <rFont val="Times New Roman"/>
        <family val="1"/>
      </rPr>
      <t>361005     PERDIDA DEL EJERCICIO</t>
    </r>
  </si>
  <si>
    <r>
      <rPr>
        <sz val="12"/>
        <rFont val="Times New Roman"/>
        <family val="1"/>
      </rPr>
      <t>AJ 30</t>
    </r>
  </si>
  <si>
    <r>
      <rPr>
        <sz val="12"/>
        <rFont val="Times New Roman"/>
        <family val="1"/>
      </rPr>
      <t>Reclas Deficit A Dic31-19</t>
    </r>
  </si>
  <si>
    <t>fecha</t>
  </si>
  <si>
    <t>Compra  80 sillas y 10 mesas</t>
  </si>
  <si>
    <t>Mant e implementacion del sistema</t>
  </si>
  <si>
    <t>Valores no cubierto por reclamacion poliza seguros</t>
  </si>
  <si>
    <t>se contemplan 2 asambleas</t>
  </si>
  <si>
    <t>celeb dia madre-niños y novena navidad</t>
  </si>
  <si>
    <t>MANTENIMEINTO PAGINA WEB</t>
  </si>
  <si>
    <t xml:space="preserve">Compra trotadora, multigimnasio y traslado gimnasio </t>
  </si>
  <si>
    <t>Validar con lo $56 millones</t>
  </si>
  <si>
    <t>CAMBIO PISO POROSIADO SOTANO 2</t>
  </si>
  <si>
    <t>2 ductos shut torre 4 y 5,  y 4 ventilaciones</t>
  </si>
  <si>
    <t>se enchaparián 4 jardineras, adecuacion jardines T 1 y T3</t>
  </si>
  <si>
    <t>Un mantenimiento/año</t>
  </si>
  <si>
    <t>ok</t>
  </si>
  <si>
    <t xml:space="preserve">Filtraciones de agua </t>
  </si>
  <si>
    <t xml:space="preserve">Adicional alumbrado sotano 1 y bombillos incluye $1.200.000 pagado a Gomez </t>
  </si>
  <si>
    <t xml:space="preserve">Vactor </t>
  </si>
  <si>
    <t xml:space="preserve">MANTENIMIENTO TUBERIA NEGRAS Y POTABLES </t>
  </si>
  <si>
    <t>Rep tuberia gas por fugas</t>
  </si>
  <si>
    <t>MANT TUBERIA RED GAS COMUNAL</t>
  </si>
  <si>
    <t>MANT ADOQUIN PARQUEADEROS</t>
  </si>
  <si>
    <t xml:space="preserve">Reposición  y mant cerca electrica, </t>
  </si>
  <si>
    <t>MTTO CERCA ELECTRICA</t>
  </si>
  <si>
    <t>Reposición camaras y ampliacion Disco duro para DVR</t>
  </si>
  <si>
    <t>MANT CUBIERTAS</t>
  </si>
  <si>
    <t>Impermeab  muros y plataforma hacia sotanos, se hara una revisón de impermeabilización en cubiertas</t>
  </si>
  <si>
    <t>IMPERMEABILIZACIONES CUBIERTAS - HUMEDADES</t>
  </si>
  <si>
    <t>Recarga y cambio algunos accesorios</t>
  </si>
  <si>
    <t xml:space="preserve">MANT PUERTAS VEHICULARES </t>
  </si>
  <si>
    <t>Mant prev trimestral - mant a tableros transferencia y compra ACPM</t>
  </si>
  <si>
    <t>Lavado dsifeccion 3 tanques- pozos eyectores y analisis de agua,</t>
  </si>
  <si>
    <t>Certificacion 6 ascensores y repuestos para certif norma seguridad</t>
  </si>
  <si>
    <t>Cambio pulsadores- tarjetas electrónicas,</t>
  </si>
  <si>
    <t>Mant preventivo mensual</t>
  </si>
  <si>
    <t>Niples-  codos y tuberia básica</t>
  </si>
  <si>
    <t>Rep 2 bombas eyectoras y posible cambio tanque hidroacumulador - MIRAR FONDOS</t>
  </si>
  <si>
    <t>Mant reventivo mensual bombas de presion y eyección</t>
  </si>
  <si>
    <t>Mueble salon niños  y cambio columpios</t>
  </si>
  <si>
    <t>Mant preventivo mensual a partir de abril/20- y combustible guadaña</t>
  </si>
  <si>
    <t>Incluye revision técnica y consumo mensual</t>
  </si>
  <si>
    <t>2 lineas telefonicas  e internet- recarga para celular aux adtiva</t>
  </si>
  <si>
    <t>Se prevee ahorro por la instal de sensores led</t>
  </si>
  <si>
    <t xml:space="preserve">Incremento 6% </t>
  </si>
  <si>
    <t>VIGILANCIA ELECTRONICA</t>
  </si>
  <si>
    <t>Incremento poliza de seguros el 6% a partir septiembre/20</t>
  </si>
  <si>
    <t>ASESORIA JURIDICA</t>
  </si>
  <si>
    <t xml:space="preserve">CONTABILIDAD </t>
  </si>
  <si>
    <t>Descuento $55.000 por asistencia reunion consejo para 7 consejeros</t>
  </si>
  <si>
    <t>Se prevee que el 89% del total de os apartamentos tomará el descuento</t>
  </si>
  <si>
    <t>Incremento 6% ya realizado en enero/20</t>
  </si>
  <si>
    <t>PROY/PPT</t>
  </si>
  <si>
    <t>PRY/EJEC</t>
  </si>
  <si>
    <t>AÑO/19</t>
  </si>
  <si>
    <t>MES/19</t>
  </si>
  <si>
    <t>NOTAS</t>
  </si>
  <si>
    <t>PROYECTO</t>
  </si>
  <si>
    <t>PROYECTO  PRESUPUESTO ENERO 1 A DICIEMBRE 31 DE 2020</t>
  </si>
  <si>
    <t>dia 30</t>
  </si>
  <si>
    <t xml:space="preserve">Iva Fv888 12 Acrilicos </t>
  </si>
  <si>
    <t xml:space="preserve">Fv888 12 Acrilicos Carteleras- 10 </t>
  </si>
  <si>
    <t>Fv888 10 Placas Carros -Señal</t>
  </si>
  <si>
    <t xml:space="preserve">Fv888 12 Marco Aluminio </t>
  </si>
  <si>
    <t xml:space="preserve">Iva Fv30 Computador Corei3- 1 </t>
  </si>
  <si>
    <t>Fv30 2 Licencia Office-</t>
  </si>
  <si>
    <t xml:space="preserve">Fv30 Computador Corei3- 1 </t>
  </si>
  <si>
    <t>Fv30  1 Lic Antivirus Nod32</t>
  </si>
  <si>
    <t>Fv30 2  Licencia Windows</t>
  </si>
  <si>
    <t>Fv30 M.O Instal Computador</t>
  </si>
  <si>
    <t xml:space="preserve">Iva Fe41000688 Tv Led 65 Pulg </t>
  </si>
  <si>
    <t xml:space="preserve">Fe41000688 Tv Led 65 Pulg </t>
  </si>
  <si>
    <t>Instalacion Tv Oficina</t>
  </si>
  <si>
    <t xml:space="preserve">1 Forro Para Ascensor Color </t>
  </si>
  <si>
    <t xml:space="preserve">1 Forro Para Carro De Mercado- </t>
  </si>
  <si>
    <t xml:space="preserve">Arrend Anual -Hosting- Pagina </t>
  </si>
  <si>
    <t xml:space="preserve">Desarrollo Pagina Web- Compra </t>
  </si>
  <si>
    <t xml:space="preserve">Saldo </t>
  </si>
  <si>
    <t>imprevistos</t>
  </si>
  <si>
    <r>
      <rPr>
        <sz val="12"/>
        <rFont val="Calibri"/>
        <family val="2"/>
      </rPr>
      <t>Conjunto Residencial Nogales De La Colina Ph</t>
    </r>
  </si>
  <si>
    <t xml:space="preserve">CUENTAS POR COBRAR </t>
  </si>
  <si>
    <t>AL 30 ABRIL/20</t>
  </si>
  <si>
    <r>
      <rPr>
        <sz val="12"/>
        <rFont val="Calibri"/>
        <family val="2"/>
      </rPr>
      <t xml:space="preserve">2505 Salazar Luis Fernando/ Cruz Maria Teresa  Cc10088724- </t>
    </r>
  </si>
  <si>
    <r>
      <rPr>
        <sz val="12"/>
        <rFont val="Calibri"/>
        <family val="2"/>
      </rPr>
      <t>APTO 3-1202</t>
    </r>
  </si>
  <si>
    <r>
      <rPr>
        <sz val="12"/>
        <rFont val="Calibri"/>
        <family val="2"/>
      </rPr>
      <t xml:space="preserve">31202 Albarracin  Jorge </t>
    </r>
  </si>
  <si>
    <r>
      <rPr>
        <sz val="12"/>
        <rFont val="Calibri"/>
        <family val="2"/>
      </rPr>
      <t>APTO 5-0204</t>
    </r>
  </si>
  <si>
    <r>
      <rPr>
        <sz val="12"/>
        <rFont val="Calibri"/>
        <family val="2"/>
      </rPr>
      <t xml:space="preserve">5204 Barrera Valderama Ricardo </t>
    </r>
  </si>
  <si>
    <r>
      <rPr>
        <sz val="12"/>
        <rFont val="Calibri"/>
        <family val="2"/>
      </rPr>
      <t>APTO 5-0904</t>
    </r>
  </si>
  <si>
    <r>
      <rPr>
        <sz val="12"/>
        <rFont val="Calibri"/>
        <family val="2"/>
      </rPr>
      <t>5904 Jimenez  Elkin  Jose C.C. 71695107</t>
    </r>
  </si>
  <si>
    <r>
      <rPr>
        <sz val="12"/>
        <rFont val="Calibri"/>
        <family val="2"/>
      </rPr>
      <t>APTO 2-0302</t>
    </r>
  </si>
  <si>
    <r>
      <rPr>
        <sz val="12"/>
        <rFont val="Calibri"/>
        <family val="2"/>
      </rPr>
      <t>2302 Garcia  Diego German C.C. 79361104</t>
    </r>
  </si>
  <si>
    <r>
      <rPr>
        <sz val="12"/>
        <rFont val="Calibri"/>
        <family val="2"/>
      </rPr>
      <t>APTO 3-0502</t>
    </r>
  </si>
  <si>
    <r>
      <rPr>
        <sz val="12"/>
        <rFont val="Calibri"/>
        <family val="2"/>
      </rPr>
      <t>30502 Forero  Alexandra C.C. 22519063</t>
    </r>
  </si>
  <si>
    <r>
      <rPr>
        <sz val="12"/>
        <rFont val="Calibri"/>
        <family val="2"/>
      </rPr>
      <t>APTO 5-0304</t>
    </r>
  </si>
  <si>
    <r>
      <rPr>
        <sz val="12"/>
        <rFont val="Calibri"/>
        <family val="2"/>
      </rPr>
      <t>5304 Rojas Villamizar Nelly Cecilia Cc 60291174</t>
    </r>
  </si>
  <si>
    <r>
      <rPr>
        <sz val="12"/>
        <rFont val="Calibri"/>
        <family val="2"/>
      </rPr>
      <t>APTO 3-0203</t>
    </r>
  </si>
  <si>
    <r>
      <rPr>
        <sz val="12"/>
        <rFont val="Calibri"/>
        <family val="2"/>
      </rPr>
      <t>3203 Rodriguez Sierra Dora Alba Cc 20320316</t>
    </r>
  </si>
  <si>
    <r>
      <rPr>
        <sz val="12"/>
        <rFont val="Calibri"/>
        <family val="2"/>
      </rPr>
      <t>APTO 3-0404</t>
    </r>
  </si>
  <si>
    <r>
      <rPr>
        <sz val="12"/>
        <rFont val="Calibri"/>
        <family val="2"/>
      </rPr>
      <t>3404 Rojas Morales Jorge Enrique</t>
    </r>
  </si>
  <si>
    <r>
      <rPr>
        <sz val="12"/>
        <rFont val="Calibri"/>
        <family val="2"/>
      </rPr>
      <t>APTO 6-1104</t>
    </r>
  </si>
  <si>
    <r>
      <rPr>
        <sz val="12"/>
        <rFont val="Calibri"/>
        <family val="2"/>
      </rPr>
      <t xml:space="preserve">61104 Marisol  Bohorques </t>
    </r>
  </si>
  <si>
    <r>
      <rPr>
        <sz val="12"/>
        <rFont val="Calibri"/>
        <family val="2"/>
      </rPr>
      <t>APTO 5-0401</t>
    </r>
  </si>
  <si>
    <r>
      <rPr>
        <sz val="12"/>
        <rFont val="Calibri"/>
        <family val="2"/>
      </rPr>
      <t>5401 Leyva Luis Fernando</t>
    </r>
  </si>
  <si>
    <r>
      <rPr>
        <sz val="12"/>
        <rFont val="Calibri"/>
        <family val="2"/>
      </rPr>
      <t>APTO 3-0601</t>
    </r>
  </si>
  <si>
    <r>
      <rPr>
        <sz val="12"/>
        <rFont val="Calibri"/>
        <family val="2"/>
      </rPr>
      <t>3601 Escobar  Francisco Javier C.C. 17111701</t>
    </r>
  </si>
  <si>
    <r>
      <rPr>
        <sz val="12"/>
        <rFont val="Calibri"/>
        <family val="2"/>
      </rPr>
      <t>APTO 3-1201</t>
    </r>
  </si>
  <si>
    <r>
      <rPr>
        <sz val="12"/>
        <rFont val="Calibri"/>
        <family val="2"/>
      </rPr>
      <t>31201 Muñoz Rodriguez Zulma C.C. 52024639</t>
    </r>
  </si>
  <si>
    <r>
      <rPr>
        <sz val="12"/>
        <rFont val="Calibri"/>
        <family val="2"/>
      </rPr>
      <t>APTO 3-0504</t>
    </r>
  </si>
  <si>
    <r>
      <rPr>
        <sz val="12"/>
        <rFont val="Calibri"/>
        <family val="2"/>
      </rPr>
      <t>3504  Vaca Vargas Mireya Rocio</t>
    </r>
  </si>
  <si>
    <r>
      <rPr>
        <sz val="12"/>
        <rFont val="Calibri"/>
        <family val="2"/>
      </rPr>
      <t>APTO 5-0402</t>
    </r>
  </si>
  <si>
    <r>
      <rPr>
        <sz val="12"/>
        <rFont val="Calibri"/>
        <family val="2"/>
      </rPr>
      <t>50402 Suarez Gomez Maria Del Pilar C.C. 51.813.592</t>
    </r>
  </si>
  <si>
    <t>Parqueadero Visitantes</t>
  </si>
  <si>
    <t>ABRIL  30/20</t>
  </si>
  <si>
    <t>CONSIGNACION PENDIENTE EN EXTRACTO</t>
  </si>
  <si>
    <t>ABRIL 30/20  AP 2-102 RCAJA 48459</t>
  </si>
  <si>
    <r>
      <rPr>
        <sz val="12"/>
        <rFont val="Calibri"/>
        <family val="2"/>
      </rPr>
      <t>233507</t>
    </r>
  </si>
  <si>
    <t>ELEMENTOS DE ASEO</t>
  </si>
  <si>
    <t>Reclamaciones Cia. Seguros</t>
  </si>
  <si>
    <t>Mant Citofonos</t>
  </si>
  <si>
    <t>CXCX DIC31/19</t>
  </si>
  <si>
    <t>TOTAL CXC A LA FECHA</t>
  </si>
  <si>
    <t>CXC EN BALANCE</t>
  </si>
  <si>
    <t>DIFERENCIA</t>
  </si>
  <si>
    <t>RECAUDO MENSUAL EN BANCOS</t>
  </si>
  <si>
    <t>IMPLEMENTOS COVID 19</t>
  </si>
  <si>
    <t>Mant Citofonos- otros equipos</t>
  </si>
  <si>
    <t>MANT-LAVADO DESINF TANQUES- FOSOS EYEC</t>
  </si>
  <si>
    <t>MAYO 31/20</t>
  </si>
  <si>
    <t>MAYO1/20</t>
  </si>
  <si>
    <t>(BCS) Tarjeta Debito</t>
  </si>
  <si>
    <t>MAYO 5/20</t>
  </si>
  <si>
    <t>MAYO 6/20</t>
  </si>
  <si>
    <t>CREDITO TRANSF. INTERNET</t>
  </si>
  <si>
    <t>8175596640NI8301</t>
  </si>
  <si>
    <t>9877484808NI8301</t>
  </si>
  <si>
    <t>MAYO 8/20</t>
  </si>
  <si>
    <t>000009003272052  TRASLADOS 25344       NO ES 1101</t>
  </si>
  <si>
    <t>MAYO 13/20</t>
  </si>
  <si>
    <t>CONJUNTO RESIDENCIAL 28012 28012</t>
  </si>
  <si>
    <t>000000041473149  TRASLADOS 000000041473149       MARIA CRISTINA VILLEGAS</t>
  </si>
  <si>
    <t>MAYO 18/20</t>
  </si>
  <si>
    <t>TRANSFERENCIA OTRA ENTIDAD</t>
  </si>
  <si>
    <t>CUOTAS</t>
  </si>
  <si>
    <t>VR</t>
  </si>
  <si>
    <r>
      <rPr>
        <sz val="12"/>
        <rFont val="Calibri"/>
        <family val="2"/>
      </rPr>
      <t>APTO 5-1002</t>
    </r>
  </si>
  <si>
    <r>
      <rPr>
        <sz val="12"/>
        <rFont val="Calibri"/>
        <family val="2"/>
      </rPr>
      <t>51002 Rodriguez  Leonor</t>
    </r>
  </si>
  <si>
    <r>
      <rPr>
        <sz val="12"/>
        <rFont val="Calibri"/>
        <family val="2"/>
      </rPr>
      <t>5802 Paez  Alejandro C.C. 79751755</t>
    </r>
  </si>
  <si>
    <r>
      <rPr>
        <sz val="12"/>
        <rFont val="Calibri"/>
        <family val="2"/>
      </rPr>
      <t>APTO 5-0504</t>
    </r>
  </si>
  <si>
    <r>
      <rPr>
        <sz val="12"/>
        <rFont val="Calibri"/>
        <family val="2"/>
      </rPr>
      <t>5504 Pineda Ordonez Claudia C.C. 51710196</t>
    </r>
  </si>
  <si>
    <r>
      <rPr>
        <sz val="12"/>
        <rFont val="Calibri"/>
        <family val="2"/>
      </rPr>
      <t>APTO 4-0303</t>
    </r>
  </si>
  <si>
    <r>
      <rPr>
        <sz val="12"/>
        <rFont val="Calibri"/>
        <family val="2"/>
      </rPr>
      <t>4303 Paz  Liborio C.C. 4790483</t>
    </r>
  </si>
  <si>
    <r>
      <rPr>
        <sz val="12"/>
        <rFont val="Calibri"/>
        <family val="2"/>
      </rPr>
      <t>APTO 4-0703</t>
    </r>
  </si>
  <si>
    <r>
      <rPr>
        <sz val="12"/>
        <rFont val="Calibri"/>
        <family val="2"/>
      </rPr>
      <t>4703 Barragan  Mauricio C.C. 79375504</t>
    </r>
  </si>
  <si>
    <r>
      <rPr>
        <sz val="12"/>
        <rFont val="Calibri"/>
        <family val="2"/>
      </rPr>
      <t>APTO 6-0401</t>
    </r>
  </si>
  <si>
    <r>
      <rPr>
        <sz val="12"/>
        <rFont val="Calibri"/>
        <family val="2"/>
      </rPr>
      <t>6401 Ariza  Armando C.C. 79790672</t>
    </r>
  </si>
  <si>
    <r>
      <rPr>
        <sz val="12"/>
        <rFont val="Calibri"/>
        <family val="2"/>
      </rPr>
      <t>APTO 4-0304</t>
    </r>
  </si>
  <si>
    <r>
      <rPr>
        <sz val="12"/>
        <rFont val="Calibri"/>
        <family val="2"/>
      </rPr>
      <t>4304 Cubides Prieto Andres C.C. 79780306</t>
    </r>
  </si>
  <si>
    <r>
      <rPr>
        <sz val="12"/>
        <rFont val="Calibri"/>
        <family val="2"/>
      </rPr>
      <t>APTO 1-1002</t>
    </r>
  </si>
  <si>
    <r>
      <rPr>
        <sz val="12"/>
        <rFont val="Calibri"/>
        <family val="2"/>
      </rPr>
      <t>11002 Hernandez  Yuber Ivan C.C. 9526240</t>
    </r>
  </si>
  <si>
    <r>
      <rPr>
        <sz val="12"/>
        <rFont val="Calibri"/>
        <family val="2"/>
      </rPr>
      <t>APTO 3-0201</t>
    </r>
  </si>
  <si>
    <r>
      <rPr>
        <sz val="12"/>
        <rFont val="Calibri"/>
        <family val="2"/>
      </rPr>
      <t>3201 Sierra De Rodriguez Isabel C.C. 20050452</t>
    </r>
  </si>
  <si>
    <r>
      <rPr>
        <sz val="12"/>
        <rFont val="Calibri"/>
        <family val="2"/>
      </rPr>
      <t>APTO 1-0704</t>
    </r>
  </si>
  <si>
    <r>
      <rPr>
        <sz val="12"/>
        <rFont val="Calibri"/>
        <family val="2"/>
      </rPr>
      <t>1704 Enciso  Diana Clementina C.C. 51846122</t>
    </r>
  </si>
  <si>
    <r>
      <rPr>
        <sz val="12"/>
        <rFont val="Calibri"/>
        <family val="2"/>
      </rPr>
      <t>APTO 4-0602</t>
    </r>
  </si>
  <si>
    <r>
      <rPr>
        <sz val="12"/>
        <rFont val="Calibri"/>
        <family val="2"/>
      </rPr>
      <t>4602 Espinosa  Andres G</t>
    </r>
  </si>
  <si>
    <t>Parqueadero</t>
  </si>
  <si>
    <t>CExtraordinaria Fachadas-</t>
  </si>
  <si>
    <t>Int Cextr- otros</t>
  </si>
  <si>
    <t>ACUM MAYO/20</t>
  </si>
  <si>
    <t>RECUPERACION  C ADMINISTRACION AÑOS ANTERIORES</t>
  </si>
  <si>
    <t>10 aptos</t>
  </si>
  <si>
    <t>38 aptos</t>
  </si>
  <si>
    <t>10 ap</t>
  </si>
  <si>
    <t>29 apto</t>
  </si>
  <si>
    <r>
      <rPr>
        <sz val="12"/>
        <color rgb="FFFF0000"/>
        <rFont val="Calibri"/>
        <family val="2"/>
      </rPr>
      <t>APTO 2-0502</t>
    </r>
  </si>
  <si>
    <r>
      <rPr>
        <sz val="12"/>
        <color rgb="FFFF0000"/>
        <rFont val="Calibri"/>
        <family val="2"/>
      </rPr>
      <t>APTO 3-0203</t>
    </r>
  </si>
  <si>
    <r>
      <rPr>
        <b/>
        <sz val="12"/>
        <rFont val="Calibri"/>
        <family val="2"/>
      </rPr>
      <t>APTO 2-0302</t>
    </r>
  </si>
  <si>
    <t>1-1002 rc48718</t>
  </si>
  <si>
    <t>1-101 rc 48888</t>
  </si>
  <si>
    <t>3-101 rc48952</t>
  </si>
  <si>
    <t>5-902 rc48955</t>
  </si>
  <si>
    <t>3-302 rc48956</t>
  </si>
  <si>
    <t>JUNIO 30/20</t>
  </si>
  <si>
    <t xml:space="preserve">JUNIO30/20 </t>
  </si>
  <si>
    <t>RCAJA 48951  APTO 1-201</t>
  </si>
  <si>
    <t>TRANSFERENCIA PENDIENTE EN EXTRACTO</t>
  </si>
  <si>
    <t>JUNIO 5/20</t>
  </si>
  <si>
    <t>000009003272052  TRASLADOS 26709       APTO 1101</t>
  </si>
  <si>
    <t>JUNIO 23/20</t>
  </si>
  <si>
    <t xml:space="preserve">000008600021846  PROVEEDOR 0020998374         </t>
  </si>
  <si>
    <t>Fondo Otras Inversiones -Recup cartera</t>
  </si>
  <si>
    <t>ENCHAPE CUARTO DE BASURAS T 3- 4-5-6</t>
  </si>
  <si>
    <t>octubre</t>
  </si>
  <si>
    <t>noviembre</t>
  </si>
  <si>
    <t>dic*20</t>
  </si>
  <si>
    <r>
      <rPr>
        <sz val="12"/>
        <rFont val="Calibri"/>
        <family val="2"/>
      </rPr>
      <t>APTO 6-0802</t>
    </r>
  </si>
  <si>
    <r>
      <rPr>
        <sz val="12"/>
        <rFont val="Calibri"/>
        <family val="2"/>
      </rPr>
      <t>6802 D' Castro  Juan Carlos C.C. 79049561</t>
    </r>
  </si>
  <si>
    <r>
      <rPr>
        <sz val="12"/>
        <rFont val="Calibri"/>
        <family val="2"/>
      </rPr>
      <t>APTO 6-1001</t>
    </r>
  </si>
  <si>
    <r>
      <rPr>
        <sz val="12"/>
        <rFont val="Calibri"/>
        <family val="2"/>
      </rPr>
      <t>61001 Villamil  Gloria C.C. 41323593</t>
    </r>
  </si>
  <si>
    <r>
      <rPr>
        <sz val="12"/>
        <rFont val="Calibri"/>
        <family val="2"/>
      </rPr>
      <t xml:space="preserve">4102 Cardona Giraldo </t>
    </r>
  </si>
  <si>
    <r>
      <rPr>
        <sz val="12"/>
        <rFont val="Calibri"/>
        <family val="2"/>
      </rPr>
      <t>APTO 3-0901</t>
    </r>
  </si>
  <si>
    <r>
      <rPr>
        <sz val="12"/>
        <rFont val="Calibri"/>
        <family val="2"/>
      </rPr>
      <t>3901 Neira Torres Silenia C.C. 30.206.250</t>
    </r>
  </si>
  <si>
    <r>
      <rPr>
        <sz val="12"/>
        <rFont val="Calibri"/>
        <family val="2"/>
      </rPr>
      <t>APTO 6-0804</t>
    </r>
  </si>
  <si>
    <r>
      <rPr>
        <sz val="12"/>
        <rFont val="Calibri"/>
        <family val="2"/>
      </rPr>
      <t>6804 Bazurto  Desiderio C.C. 2951412</t>
    </r>
  </si>
  <si>
    <r>
      <rPr>
        <sz val="12"/>
        <rFont val="Calibri"/>
        <family val="2"/>
      </rPr>
      <t>23353506</t>
    </r>
  </si>
  <si>
    <r>
      <rPr>
        <sz val="12"/>
        <rFont val="Calibri"/>
        <family val="2"/>
      </rPr>
      <t>23353507</t>
    </r>
  </si>
  <si>
    <t>MANT OTROS EQUIPOS</t>
  </si>
  <si>
    <t>MANT CITOFONOS -TELEFONOS</t>
  </si>
  <si>
    <t xml:space="preserve">OTRAS OBRAS </t>
  </si>
  <si>
    <t>Reclamaciones poliza de seguros</t>
  </si>
  <si>
    <t>Carlos Antonio Convers G.</t>
  </si>
  <si>
    <t>T.P. 40902-T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</si>
</sst>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2" formatCode="_-&quot;$&quot;* #,##0_-;\-&quot;$&quot;* #,##0_-;_-&quot;$&quot;* &quot;-&quot;_-;_-@_-"/>
    <numFmt numFmtId="44" formatCode="_-&quot;$&quot;* #,##0.00_-;\-&quot;$&quot;* #,##0.00_-;_-&quot;$&quot;* &quot;-&quot;??_-;_-@_-"/>
    <numFmt numFmtId="43" formatCode="_-* #,##0.00_-;\-* #,##0.00_-;_-* &quot;-&quot;??_-;_-@_-"/>
    <numFmt numFmtId="164" formatCode="_(* #,##0.00_);_(* \(#,##0.00\);_(* &quot;-&quot;??_);_(@_)"/>
    <numFmt numFmtId="165" formatCode="_ * #,##0_ ;_ * \-#,##0_ ;_ * &quot;-&quot;_ ;_ @_ "/>
    <numFmt numFmtId="166" formatCode="_ * #,##0.00_ ;_ * \-#,##0.00_ ;_ * &quot;-&quot;??_ ;_ @_ "/>
    <numFmt numFmtId="167" formatCode="_ * #,##0_ ;_ * \-#,##0_ ;_ * &quot;-&quot;??_ ;_ @_ "/>
    <numFmt numFmtId="168" formatCode="_(* #,##0_);_(* \(#,##0\);_(* &quot;-&quot;??_);_(@_)"/>
    <numFmt numFmtId="169" formatCode="[$-C0A]d\-mmm\-yy;@"/>
    <numFmt numFmtId="170" formatCode="_-* #,##0_-;\-* #,##0_-;_-* &quot;-&quot;??_-;_-@_-"/>
    <numFmt numFmtId="171" formatCode="\$#,##0.00;\(\$#,##0.00\)"/>
    <numFmt numFmtId="172" formatCode="#,##0.0"/>
    <numFmt numFmtId="173" formatCode="_ * #,##0.00_ ;_ * \-#,##0.00_ ;_ * &quot;-&quot;_ ;_ @_ "/>
    <numFmt numFmtId="174" formatCode="d/mm/yyyy;@"/>
    <numFmt numFmtId="175" formatCode="_(&quot;$&quot;\ * #,##0.00_);_(&quot;$&quot;\ * \(#,##0.00\);_(&quot;$&quot;\ * &quot;-&quot;??_);_(@_)"/>
    <numFmt numFmtId="176" formatCode="_(&quot;$&quot;\ * #,##0_);_(&quot;$&quot;\ * \(#,##0\);_(&quot;$&quot;\ * &quot;-&quot;??_);_(@_)"/>
    <numFmt numFmtId="177" formatCode="#,##0;[Red]#,##0"/>
    <numFmt numFmtId="178" formatCode="_(* #,##0_);_(* \(#,##0\);_(* &quot;-&quot;_);_(@_)"/>
  </numFmts>
  <fonts count="9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1"/>
      <color indexed="8"/>
      <name val="Calibri"/>
      <family val="2"/>
    </font>
    <font>
      <sz val="10"/>
      <name val="MS Sans Serif"/>
      <family val="2"/>
    </font>
    <font>
      <sz val="10"/>
      <color indexed="72"/>
      <name val="Arial"/>
      <family val="2"/>
    </font>
    <font>
      <sz val="11"/>
      <color theme="1"/>
      <name val="Calibri"/>
      <family val="2"/>
      <scheme val="minor"/>
    </font>
    <font>
      <sz val="10"/>
      <color theme="1"/>
      <name val="Arial"/>
      <family val="2"/>
    </font>
    <font>
      <sz val="10"/>
      <color rgb="FF000000"/>
      <name val="Arial"/>
      <family val="2"/>
    </font>
    <font>
      <b/>
      <sz val="10"/>
      <color theme="1"/>
      <name val="Arial"/>
      <family val="2"/>
    </font>
    <font>
      <sz val="10"/>
      <color theme="0"/>
      <name val="Arial"/>
      <family val="2"/>
    </font>
    <font>
      <sz val="10"/>
      <color rgb="FFFF0000"/>
      <name val="Arial"/>
      <family val="2"/>
    </font>
    <font>
      <b/>
      <sz val="11"/>
      <color theme="1"/>
      <name val="Calibri"/>
      <family val="2"/>
      <scheme val="minor"/>
    </font>
    <font>
      <sz val="12"/>
      <color theme="1"/>
      <name val="Calibri"/>
      <family val="2"/>
      <scheme val="minor"/>
    </font>
    <font>
      <sz val="12"/>
      <color rgb="FF000000"/>
      <name val="Times New Roman"/>
      <family val="2"/>
    </font>
    <font>
      <b/>
      <sz val="12"/>
      <color rgb="FF000000"/>
      <name val="Times New Roman"/>
      <family val="2"/>
    </font>
    <font>
      <sz val="9"/>
      <color indexed="8"/>
      <name val="Garamond"/>
      <family val="1"/>
    </font>
    <font>
      <b/>
      <sz val="20"/>
      <color indexed="8"/>
      <name val="Garamond"/>
      <family val="1"/>
    </font>
    <font>
      <b/>
      <sz val="8"/>
      <color indexed="8"/>
      <name val="Garamond"/>
      <family val="1"/>
    </font>
    <font>
      <sz val="14"/>
      <color indexed="8"/>
      <name val="Garamond"/>
      <family val="1"/>
    </font>
    <font>
      <b/>
      <sz val="14"/>
      <color indexed="8"/>
      <name val="Garamond"/>
      <family val="1"/>
    </font>
    <font>
      <b/>
      <sz val="25"/>
      <color theme="1"/>
      <name val="Garamond"/>
      <family val="1"/>
    </font>
    <font>
      <sz val="14"/>
      <color theme="1"/>
      <name val="Garamond"/>
      <family val="1"/>
    </font>
    <font>
      <sz val="11"/>
      <color theme="1"/>
      <name val="Garamond"/>
      <family val="1"/>
    </font>
    <font>
      <sz val="8"/>
      <color theme="1"/>
      <name val="Cambria"/>
      <family val="1"/>
      <scheme val="major"/>
    </font>
    <font>
      <b/>
      <sz val="18"/>
      <color theme="1"/>
      <name val="Cambria"/>
      <family val="1"/>
      <scheme val="major"/>
    </font>
    <font>
      <b/>
      <sz val="8"/>
      <color theme="1"/>
      <name val="Cambria"/>
      <family val="1"/>
      <scheme val="major"/>
    </font>
    <font>
      <b/>
      <sz val="9"/>
      <color theme="1"/>
      <name val="Cambria"/>
      <family val="1"/>
      <scheme val="major"/>
    </font>
    <font>
      <sz val="9"/>
      <color theme="1"/>
      <name val="Cambria"/>
      <family val="1"/>
      <scheme val="major"/>
    </font>
    <font>
      <sz val="10"/>
      <color theme="1"/>
      <name val="Cambria"/>
      <family val="1"/>
      <scheme val="major"/>
    </font>
    <font>
      <b/>
      <sz val="9"/>
      <name val="Cambria"/>
      <family val="1"/>
      <scheme val="major"/>
    </font>
    <font>
      <sz val="9"/>
      <name val="Cambria"/>
      <family val="1"/>
      <scheme val="major"/>
    </font>
    <font>
      <sz val="10"/>
      <name val="Cambria"/>
      <family val="1"/>
      <scheme val="major"/>
    </font>
    <font>
      <b/>
      <sz val="10"/>
      <name val="Cambria"/>
      <family val="1"/>
      <scheme val="major"/>
    </font>
    <font>
      <sz val="8"/>
      <name val="Cambria"/>
      <family val="1"/>
      <scheme val="major"/>
    </font>
    <font>
      <b/>
      <sz val="8"/>
      <name val="Cambria"/>
      <family val="1"/>
      <scheme val="major"/>
    </font>
    <font>
      <b/>
      <sz val="10"/>
      <color theme="1"/>
      <name val="Cambria"/>
      <family val="1"/>
      <scheme val="major"/>
    </font>
    <font>
      <sz val="11"/>
      <color theme="1"/>
      <name val="Cambria"/>
      <family val="1"/>
      <scheme val="major"/>
    </font>
    <font>
      <sz val="14"/>
      <color theme="1"/>
      <name val="Cambria"/>
      <family val="1"/>
      <scheme val="major"/>
    </font>
    <font>
      <sz val="10"/>
      <color indexed="8"/>
      <name val="Cambria"/>
      <family val="1"/>
      <scheme val="major"/>
    </font>
    <font>
      <sz val="10"/>
      <color theme="1"/>
      <name val="Garamond"/>
      <family val="1"/>
    </font>
    <font>
      <b/>
      <sz val="12"/>
      <name val="Arial"/>
      <family val="2"/>
    </font>
    <font>
      <sz val="12"/>
      <name val="Arial"/>
      <family val="2"/>
    </font>
    <font>
      <sz val="12"/>
      <color rgb="FF000000"/>
      <name val="Arial"/>
      <family val="2"/>
    </font>
    <font>
      <sz val="9"/>
      <color theme="1"/>
      <name val="Arial"/>
      <family val="2"/>
    </font>
    <font>
      <b/>
      <sz val="9"/>
      <color theme="1"/>
      <name val="Arial"/>
      <family val="2"/>
    </font>
    <font>
      <sz val="9"/>
      <name val="Arial"/>
      <family val="2"/>
    </font>
    <font>
      <b/>
      <sz val="16"/>
      <color rgb="FF000000"/>
      <name val="Calibri"/>
      <family val="2"/>
    </font>
    <font>
      <sz val="16"/>
      <color rgb="FF000000"/>
      <name val="Calibri"/>
      <family val="2"/>
    </font>
    <font>
      <sz val="11"/>
      <color rgb="FF000000"/>
      <name val="Calibri"/>
      <family val="2"/>
    </font>
    <font>
      <sz val="11"/>
      <color rgb="FFFF0000"/>
      <name val="Calibri"/>
      <family val="2"/>
    </font>
    <font>
      <i/>
      <sz val="11"/>
      <color rgb="FFFF0000"/>
      <name val="Calibri"/>
      <family val="2"/>
    </font>
    <font>
      <sz val="11"/>
      <name val="Calibri"/>
      <family val="2"/>
    </font>
    <font>
      <b/>
      <sz val="11"/>
      <color rgb="FF000000"/>
      <name val="Calibri"/>
      <family val="2"/>
    </font>
    <font>
      <b/>
      <sz val="12"/>
      <color rgb="FF000000"/>
      <name val="SansSerif"/>
      <family val="2"/>
    </font>
    <font>
      <b/>
      <sz val="12"/>
      <name val="Calibri"/>
      <family val="2"/>
    </font>
    <font>
      <sz val="12"/>
      <color rgb="FF000000"/>
      <name val="SansSerif"/>
      <family val="2"/>
    </font>
    <font>
      <sz val="12"/>
      <name val="Calibri"/>
      <family val="2"/>
    </font>
    <font>
      <b/>
      <sz val="12"/>
      <name val="Times New Roman"/>
      <family val="1"/>
    </font>
    <font>
      <sz val="7"/>
      <color theme="1"/>
      <name val="Arial"/>
      <family val="2"/>
    </font>
    <font>
      <b/>
      <sz val="10"/>
      <name val="Calibri"/>
      <family val="2"/>
    </font>
    <font>
      <sz val="10"/>
      <color indexed="8"/>
      <name val="Calibri"/>
      <family val="2"/>
    </font>
    <font>
      <b/>
      <sz val="10"/>
      <color indexed="8"/>
      <name val="Calibri"/>
      <family val="2"/>
    </font>
    <font>
      <sz val="14"/>
      <color indexed="8"/>
      <name val="Calibri"/>
      <family val="2"/>
    </font>
    <font>
      <sz val="12"/>
      <name val="Calibri"/>
      <family val="2"/>
      <scheme val="minor"/>
    </font>
    <font>
      <sz val="12"/>
      <color theme="1"/>
      <name val="Calibri"/>
      <family val="2"/>
    </font>
    <font>
      <sz val="12"/>
      <color rgb="FFFF0000"/>
      <name val="SansSerif"/>
      <family val="2"/>
    </font>
    <font>
      <sz val="12"/>
      <color rgb="FFFF0000"/>
      <name val="Calibri"/>
      <family val="2"/>
    </font>
    <font>
      <sz val="10"/>
      <color indexed="63"/>
      <name val="Britannic Bold"/>
      <family val="2"/>
    </font>
    <font>
      <sz val="11"/>
      <name val="Arial"/>
      <family val="2"/>
    </font>
    <font>
      <sz val="5"/>
      <name val="Arial"/>
      <family val="2"/>
    </font>
    <font>
      <sz val="11"/>
      <color rgb="FF000000"/>
      <name val="SansSerif"/>
      <family val="2"/>
    </font>
    <font>
      <sz val="12"/>
      <color rgb="FF999999"/>
      <name val="SansSerif"/>
      <family val="2"/>
    </font>
    <font>
      <b/>
      <sz val="12"/>
      <color theme="1"/>
      <name val="Arial"/>
      <family val="2"/>
    </font>
    <font>
      <sz val="12"/>
      <color theme="1"/>
      <name val="Arial"/>
      <family val="2"/>
    </font>
    <font>
      <sz val="12"/>
      <name val="Times New Roman"/>
      <family val="1"/>
    </font>
    <font>
      <sz val="12"/>
      <color rgb="FFFF0000"/>
      <name val="Times New Roman"/>
      <family val="2"/>
    </font>
    <font>
      <sz val="12"/>
      <color rgb="FFFF0000"/>
      <name val="Times New Roman"/>
      <family val="1"/>
    </font>
    <font>
      <sz val="12"/>
      <color rgb="FFFF0000"/>
      <name val="Calibri"/>
      <family val="2"/>
      <scheme val="minor"/>
    </font>
    <font>
      <sz val="12"/>
      <color rgb="FF00B0F0"/>
      <name val="Times New Roman"/>
      <family val="2"/>
    </font>
    <font>
      <sz val="12"/>
      <color theme="3" tint="0.39997558519241921"/>
      <name val="Times New Roman"/>
      <family val="2"/>
    </font>
    <font>
      <sz val="12"/>
      <color theme="5" tint="-0.249977111117893"/>
      <name val="Times New Roman"/>
      <family val="2"/>
    </font>
    <font>
      <sz val="12"/>
      <color rgb="FF00B050"/>
      <name val="Times New Roman"/>
      <family val="2"/>
    </font>
    <font>
      <sz val="10"/>
      <name val="Arial"/>
      <family val="2"/>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24F2FC"/>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92D050"/>
        <bgColor indexed="64"/>
      </patternFill>
    </fill>
    <fill>
      <patternFill patternType="solid">
        <fgColor rgb="FFFFC000"/>
        <bgColor indexed="64"/>
      </patternFill>
    </fill>
    <fill>
      <patternFill patternType="solid">
        <fgColor theme="3" tint="0.59999389629810485"/>
        <bgColor indexed="64"/>
      </patternFill>
    </fill>
    <fill>
      <patternFill patternType="solid">
        <fgColor rgb="FF00B0F0"/>
        <bgColor indexed="64"/>
      </patternFill>
    </fill>
    <fill>
      <patternFill patternType="solid">
        <fgColor theme="3" tint="0.39997558519241921"/>
        <bgColor indexed="64"/>
      </patternFill>
    </fill>
  </fills>
  <borders count="60">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45">
    <xf numFmtId="0" fontId="0" fillId="0" borderId="0"/>
    <xf numFmtId="166" fontId="8" fillId="0" borderId="0" applyFont="0" applyFill="0" applyBorder="0" applyAlignment="0" applyProtection="0"/>
    <xf numFmtId="165" fontId="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4" fontId="11" fillId="0" borderId="0" applyFont="0" applyFill="0" applyBorder="0" applyAlignment="0" applyProtection="0"/>
    <xf numFmtId="164" fontId="10" fillId="0" borderId="0" applyFont="0" applyFill="0" applyBorder="0" applyAlignment="0" applyProtection="0"/>
    <xf numFmtId="164" fontId="14" fillId="0" borderId="0" applyFont="0" applyFill="0" applyBorder="0" applyAlignment="0" applyProtection="0"/>
    <xf numFmtId="166" fontId="10" fillId="0" borderId="0" applyFont="0" applyFill="0" applyBorder="0" applyAlignment="0" applyProtection="0"/>
    <xf numFmtId="166" fontId="12" fillId="0" borderId="0" applyFont="0" applyFill="0" applyBorder="0" applyAlignment="0" applyProtection="0"/>
    <xf numFmtId="0" fontId="14" fillId="0" borderId="0"/>
    <xf numFmtId="0" fontId="10" fillId="0" borderId="0"/>
    <xf numFmtId="0" fontId="10" fillId="0" borderId="0"/>
    <xf numFmtId="0" fontId="12" fillId="0" borderId="0"/>
    <xf numFmtId="0" fontId="12" fillId="0" borderId="0"/>
    <xf numFmtId="9" fontId="8" fillId="0" borderId="0" applyFont="0" applyFill="0" applyBorder="0" applyAlignment="0" applyProtection="0"/>
    <xf numFmtId="9" fontId="10" fillId="0" borderId="0" applyFont="0" applyFill="0" applyBorder="0" applyAlignment="0" applyProtection="0"/>
    <xf numFmtId="0" fontId="7" fillId="0" borderId="0"/>
    <xf numFmtId="43" fontId="7" fillId="0" borderId="0" applyFont="0" applyFill="0" applyBorder="0" applyAlignment="0" applyProtection="0"/>
    <xf numFmtId="175" fontId="7" fillId="0" borderId="0" applyFont="0" applyFill="0" applyBorder="0" applyAlignment="0" applyProtection="0"/>
    <xf numFmtId="42" fontId="7" fillId="0" borderId="0" applyFont="0" applyFill="0" applyBorder="0" applyAlignment="0" applyProtection="0"/>
    <xf numFmtId="166" fontId="8"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4" fillId="0" borderId="0"/>
    <xf numFmtId="166" fontId="8" fillId="0" borderId="0" applyFont="0" applyFill="0" applyBorder="0" applyAlignment="0" applyProtection="0"/>
    <xf numFmtId="166" fontId="8" fillId="0" borderId="0" applyFont="0" applyFill="0" applyBorder="0" applyAlignment="0" applyProtection="0"/>
    <xf numFmtId="0" fontId="8" fillId="0" borderId="0"/>
    <xf numFmtId="43" fontId="3" fillId="0" borderId="0" applyFont="0" applyFill="0" applyBorder="0" applyAlignment="0" applyProtection="0"/>
    <xf numFmtId="164" fontId="8" fillId="0" borderId="0" applyFont="0" applyFill="0" applyBorder="0" applyAlignment="0" applyProtection="0"/>
    <xf numFmtId="0" fontId="77" fillId="0" borderId="0"/>
    <xf numFmtId="0" fontId="3" fillId="0" borderId="0"/>
    <xf numFmtId="0" fontId="2" fillId="0" borderId="0"/>
    <xf numFmtId="43" fontId="2" fillId="0" borderId="0" applyFont="0" applyFill="0" applyBorder="0" applyAlignment="0" applyProtection="0"/>
    <xf numFmtId="0" fontId="8" fillId="0" borderId="0"/>
    <xf numFmtId="43" fontId="2" fillId="0" borderId="0" applyFont="0" applyFill="0" applyBorder="0" applyAlignment="0" applyProtection="0"/>
    <xf numFmtId="178" fontId="8" fillId="0" borderId="0" applyFont="0" applyFill="0" applyBorder="0" applyAlignment="0" applyProtection="0"/>
    <xf numFmtId="43" fontId="2" fillId="0" borderId="0" applyFont="0" applyFill="0" applyBorder="0" applyAlignment="0" applyProtection="0"/>
    <xf numFmtId="44" fontId="91" fillId="0" borderId="0" applyFont="0" applyFill="0" applyBorder="0" applyAlignment="0" applyProtection="0"/>
  </cellStyleXfs>
  <cellXfs count="1006">
    <xf numFmtId="0" fontId="0" fillId="0" borderId="0" xfId="0"/>
    <xf numFmtId="0" fontId="9" fillId="0" borderId="0" xfId="0" applyFont="1"/>
    <xf numFmtId="0" fontId="10" fillId="0" borderId="0" xfId="0" applyFont="1" applyFill="1"/>
    <xf numFmtId="0" fontId="10" fillId="0" borderId="0" xfId="0" applyFont="1" applyBorder="1"/>
    <xf numFmtId="0" fontId="10" fillId="0" borderId="0" xfId="0" applyFont="1"/>
    <xf numFmtId="4" fontId="10" fillId="0" borderId="0" xfId="0" applyNumberFormat="1" applyFont="1"/>
    <xf numFmtId="0" fontId="10" fillId="0" borderId="0" xfId="14" applyFont="1"/>
    <xf numFmtId="0" fontId="10" fillId="0" borderId="0" xfId="14" applyFont="1" applyFill="1"/>
    <xf numFmtId="17" fontId="10" fillId="0" borderId="0" xfId="14" applyNumberFormat="1" applyFont="1" applyFill="1" applyAlignment="1">
      <alignment horizontal="center"/>
    </xf>
    <xf numFmtId="167" fontId="9" fillId="0" borderId="11" xfId="14" applyNumberFormat="1" applyFont="1" applyFill="1" applyBorder="1"/>
    <xf numFmtId="167" fontId="10" fillId="0" borderId="0" xfId="11" applyNumberFormat="1" applyFont="1" applyFill="1"/>
    <xf numFmtId="167" fontId="10" fillId="0" borderId="0" xfId="14" applyNumberFormat="1" applyFont="1"/>
    <xf numFmtId="167" fontId="10" fillId="0" borderId="0" xfId="14" applyNumberFormat="1" applyFont="1" applyFill="1" applyBorder="1"/>
    <xf numFmtId="167" fontId="10" fillId="0" borderId="0" xfId="11" applyNumberFormat="1" applyFont="1" applyFill="1" applyBorder="1"/>
    <xf numFmtId="0" fontId="9" fillId="0" borderId="0" xfId="14" applyFont="1"/>
    <xf numFmtId="167" fontId="9" fillId="0" borderId="11" xfId="11" applyNumberFormat="1" applyFont="1" applyFill="1" applyBorder="1"/>
    <xf numFmtId="168" fontId="10" fillId="0" borderId="9" xfId="7" applyNumberFormat="1" applyFont="1" applyFill="1" applyBorder="1"/>
    <xf numFmtId="167" fontId="10" fillId="0" borderId="9" xfId="11" applyNumberFormat="1" applyFont="1" applyFill="1" applyBorder="1"/>
    <xf numFmtId="0" fontId="10" fillId="0" borderId="0" xfId="14" applyFont="1" applyBorder="1"/>
    <xf numFmtId="0" fontId="10" fillId="2" borderId="0" xfId="14" applyFont="1" applyFill="1" applyBorder="1"/>
    <xf numFmtId="0" fontId="10" fillId="2" borderId="0" xfId="14" applyFont="1" applyFill="1"/>
    <xf numFmtId="167" fontId="10" fillId="0" borderId="0" xfId="12" applyNumberFormat="1" applyFont="1"/>
    <xf numFmtId="0" fontId="15" fillId="0" borderId="0" xfId="0" applyFont="1"/>
    <xf numFmtId="0" fontId="10" fillId="0" borderId="0" xfId="15" applyFont="1" applyFill="1" applyBorder="1"/>
    <xf numFmtId="170" fontId="15" fillId="0" borderId="0" xfId="4" applyNumberFormat="1" applyFont="1" applyFill="1"/>
    <xf numFmtId="170" fontId="10" fillId="0" borderId="0" xfId="15" applyNumberFormat="1" applyFont="1" applyFill="1"/>
    <xf numFmtId="0" fontId="10" fillId="0" borderId="0" xfId="15" applyFont="1" applyFill="1"/>
    <xf numFmtId="0" fontId="15" fillId="0" borderId="9" xfId="0" applyFont="1" applyBorder="1"/>
    <xf numFmtId="167" fontId="16" fillId="0" borderId="0" xfId="1" applyNumberFormat="1" applyFont="1" applyFill="1" applyBorder="1" applyAlignment="1" applyProtection="1">
      <alignment vertical="top" wrapText="1"/>
    </xf>
    <xf numFmtId="168" fontId="15" fillId="0" borderId="0" xfId="9" applyNumberFormat="1" applyFont="1" applyFill="1"/>
    <xf numFmtId="168" fontId="15" fillId="0" borderId="0" xfId="5" applyNumberFormat="1" applyFont="1" applyFill="1"/>
    <xf numFmtId="167" fontId="10" fillId="0" borderId="0" xfId="14" applyNumberFormat="1" applyFont="1" applyFill="1" applyAlignment="1">
      <alignment horizontal="center"/>
    </xf>
    <xf numFmtId="0" fontId="10" fillId="0" borderId="0" xfId="14" applyFont="1" applyFill="1" applyAlignment="1">
      <alignment horizontal="center"/>
    </xf>
    <xf numFmtId="0" fontId="9" fillId="0" borderId="11" xfId="14" applyFont="1" applyFill="1" applyBorder="1"/>
    <xf numFmtId="167" fontId="10" fillId="0" borderId="0" xfId="14" applyNumberFormat="1" applyFont="1" applyFill="1"/>
    <xf numFmtId="170" fontId="15" fillId="0" borderId="0" xfId="1" applyNumberFormat="1" applyFont="1" applyFill="1"/>
    <xf numFmtId="0" fontId="15" fillId="0" borderId="0" xfId="0" applyFont="1" applyFill="1"/>
    <xf numFmtId="0" fontId="10" fillId="0" borderId="9" xfId="14" applyFont="1" applyFill="1" applyBorder="1"/>
    <xf numFmtId="170" fontId="15" fillId="0" borderId="9" xfId="1" applyNumberFormat="1" applyFont="1" applyFill="1" applyBorder="1"/>
    <xf numFmtId="168" fontId="10" fillId="0" borderId="0" xfId="9" applyNumberFormat="1" applyFont="1" applyFill="1"/>
    <xf numFmtId="0" fontId="10" fillId="0" borderId="0" xfId="14" applyFont="1" applyFill="1" applyBorder="1"/>
    <xf numFmtId="0" fontId="9" fillId="0" borderId="9" xfId="14" applyFont="1" applyFill="1" applyBorder="1"/>
    <xf numFmtId="167" fontId="9" fillId="0" borderId="9" xfId="11" applyNumberFormat="1" applyFont="1" applyFill="1" applyBorder="1"/>
    <xf numFmtId="170" fontId="16" fillId="0" borderId="9" xfId="1" applyNumberFormat="1" applyFont="1" applyFill="1" applyBorder="1" applyAlignment="1" applyProtection="1">
      <alignment vertical="top" wrapText="1"/>
    </xf>
    <xf numFmtId="167" fontId="15" fillId="0" borderId="0" xfId="11" applyNumberFormat="1" applyFont="1" applyFill="1" applyBorder="1"/>
    <xf numFmtId="3" fontId="13" fillId="0" borderId="0" xfId="1" applyNumberFormat="1" applyFont="1" applyFill="1" applyBorder="1" applyAlignment="1" applyProtection="1">
      <alignment vertical="top" wrapText="1"/>
    </xf>
    <xf numFmtId="172" fontId="10" fillId="0" borderId="0" xfId="14" applyNumberFormat="1" applyFont="1"/>
    <xf numFmtId="167" fontId="13" fillId="0" borderId="9" xfId="1" applyNumberFormat="1" applyFont="1" applyFill="1" applyBorder="1" applyAlignment="1" applyProtection="1">
      <alignment vertical="top" wrapText="1"/>
    </xf>
    <xf numFmtId="43" fontId="10" fillId="0" borderId="0" xfId="0" applyNumberFormat="1" applyFont="1"/>
    <xf numFmtId="170" fontId="0" fillId="0" borderId="0" xfId="0" applyNumberFormat="1"/>
    <xf numFmtId="0" fontId="15" fillId="0" borderId="0" xfId="16" applyFont="1" applyBorder="1" applyAlignment="1">
      <alignment horizontal="center"/>
    </xf>
    <xf numFmtId="17" fontId="15" fillId="0" borderId="0" xfId="14" applyNumberFormat="1" applyFont="1" applyAlignment="1">
      <alignment horizontal="center"/>
    </xf>
    <xf numFmtId="0" fontId="15" fillId="0" borderId="0" xfId="14" applyFont="1" applyAlignment="1">
      <alignment horizontal="center"/>
    </xf>
    <xf numFmtId="167" fontId="15" fillId="2" borderId="9" xfId="14" applyNumberFormat="1" applyFont="1" applyFill="1" applyBorder="1" applyAlignment="1">
      <alignment horizontal="center"/>
    </xf>
    <xf numFmtId="0" fontId="15" fillId="2" borderId="9" xfId="14" applyFont="1" applyFill="1" applyBorder="1"/>
    <xf numFmtId="0" fontId="17" fillId="2" borderId="9" xfId="16" applyFont="1" applyFill="1" applyBorder="1"/>
    <xf numFmtId="167" fontId="17" fillId="2" borderId="9" xfId="1" applyNumberFormat="1" applyFont="1" applyFill="1" applyBorder="1"/>
    <xf numFmtId="167" fontId="15" fillId="2" borderId="9" xfId="1" applyNumberFormat="1" applyFont="1" applyFill="1" applyBorder="1"/>
    <xf numFmtId="9" fontId="15" fillId="2" borderId="9" xfId="19" applyFont="1" applyFill="1" applyBorder="1" applyAlignment="1">
      <alignment horizontal="center"/>
    </xf>
    <xf numFmtId="0" fontId="15" fillId="2" borderId="9" xfId="16" applyFont="1" applyFill="1" applyBorder="1"/>
    <xf numFmtId="167" fontId="15" fillId="0" borderId="9" xfId="1" applyNumberFormat="1" applyFont="1" applyFill="1" applyBorder="1" applyAlignment="1" applyProtection="1">
      <alignment vertical="top" wrapText="1"/>
    </xf>
    <xf numFmtId="167" fontId="15" fillId="0" borderId="0" xfId="1" applyNumberFormat="1" applyFont="1"/>
    <xf numFmtId="167" fontId="17" fillId="0" borderId="9" xfId="1" applyNumberFormat="1" applyFont="1" applyFill="1" applyBorder="1"/>
    <xf numFmtId="0" fontId="15" fillId="2" borderId="9" xfId="17" applyFont="1" applyFill="1" applyBorder="1"/>
    <xf numFmtId="167" fontId="15" fillId="0" borderId="9" xfId="1" applyNumberFormat="1" applyFont="1" applyFill="1" applyBorder="1"/>
    <xf numFmtId="167" fontId="17" fillId="0" borderId="9" xfId="1" applyNumberFormat="1" applyFont="1" applyFill="1" applyBorder="1" applyAlignment="1" applyProtection="1">
      <alignment vertical="top" wrapText="1"/>
    </xf>
    <xf numFmtId="9" fontId="17" fillId="2" borderId="9" xfId="19" applyFont="1" applyFill="1" applyBorder="1" applyAlignment="1">
      <alignment horizontal="center"/>
    </xf>
    <xf numFmtId="9" fontId="17" fillId="2" borderId="9" xfId="18" applyFont="1" applyFill="1" applyBorder="1" applyAlignment="1">
      <alignment horizontal="center"/>
    </xf>
    <xf numFmtId="0" fontId="15" fillId="2" borderId="9" xfId="16" applyFont="1" applyFill="1" applyBorder="1" applyAlignment="1">
      <alignment horizontal="center"/>
    </xf>
    <xf numFmtId="0" fontId="15" fillId="2" borderId="9" xfId="16" applyFont="1" applyFill="1" applyBorder="1" applyAlignment="1">
      <alignment horizontal="left"/>
    </xf>
    <xf numFmtId="167" fontId="15" fillId="0" borderId="0" xfId="0" applyNumberFormat="1" applyFont="1" applyFill="1"/>
    <xf numFmtId="0" fontId="15" fillId="0" borderId="9" xfId="14" applyFont="1" applyBorder="1"/>
    <xf numFmtId="0" fontId="15" fillId="0" borderId="9" xfId="14" applyFont="1" applyFill="1" applyBorder="1"/>
    <xf numFmtId="0" fontId="15" fillId="2" borderId="0" xfId="16" applyFont="1" applyFill="1" applyBorder="1"/>
    <xf numFmtId="0" fontId="15" fillId="2" borderId="0" xfId="14" applyFont="1" applyFill="1" applyBorder="1"/>
    <xf numFmtId="167" fontId="15" fillId="2" borderId="0" xfId="16" applyNumberFormat="1" applyFont="1" applyFill="1" applyAlignment="1">
      <alignment horizontal="center"/>
    </xf>
    <xf numFmtId="167" fontId="15" fillId="0" borderId="0" xfId="16" applyNumberFormat="1" applyFont="1" applyFill="1" applyAlignment="1">
      <alignment horizontal="center"/>
    </xf>
    <xf numFmtId="0" fontId="15" fillId="2" borderId="0" xfId="14" applyFont="1" applyFill="1"/>
    <xf numFmtId="43" fontId="16" fillId="0" borderId="0" xfId="3" applyFont="1" applyFill="1" applyBorder="1" applyAlignment="1" applyProtection="1">
      <alignment vertical="top"/>
    </xf>
    <xf numFmtId="170" fontId="16" fillId="0" borderId="0" xfId="3" applyNumberFormat="1" applyFont="1" applyFill="1" applyBorder="1" applyAlignment="1" applyProtection="1">
      <alignment vertical="top"/>
    </xf>
    <xf numFmtId="170" fontId="16" fillId="0" borderId="9" xfId="3" applyNumberFormat="1" applyFont="1" applyFill="1" applyBorder="1" applyAlignment="1" applyProtection="1">
      <alignment vertical="top"/>
    </xf>
    <xf numFmtId="167" fontId="9" fillId="0" borderId="9" xfId="1" applyNumberFormat="1" applyFont="1" applyFill="1" applyBorder="1"/>
    <xf numFmtId="170" fontId="10" fillId="0" borderId="9" xfId="3" applyNumberFormat="1" applyFont="1" applyFill="1" applyBorder="1" applyAlignment="1" applyProtection="1">
      <alignment vertical="top"/>
    </xf>
    <xf numFmtId="167" fontId="10" fillId="0" borderId="9" xfId="1" applyNumberFormat="1" applyFont="1" applyFill="1" applyBorder="1"/>
    <xf numFmtId="170" fontId="10" fillId="0" borderId="9" xfId="3" applyNumberFormat="1" applyFont="1" applyFill="1" applyBorder="1" applyAlignment="1" applyProtection="1">
      <alignment horizontal="right" vertical="top"/>
    </xf>
    <xf numFmtId="167" fontId="18" fillId="2" borderId="0" xfId="1" applyNumberFormat="1" applyFont="1" applyFill="1" applyBorder="1"/>
    <xf numFmtId="0" fontId="15" fillId="0" borderId="9" xfId="0" applyFont="1" applyFill="1" applyBorder="1" applyAlignment="1">
      <alignment horizontal="center"/>
    </xf>
    <xf numFmtId="167" fontId="17" fillId="0" borderId="0" xfId="1" applyNumberFormat="1" applyFont="1" applyFill="1" applyBorder="1"/>
    <xf numFmtId="167" fontId="15" fillId="2" borderId="0" xfId="1" applyNumberFormat="1" applyFont="1" applyFill="1" applyBorder="1"/>
    <xf numFmtId="9" fontId="15" fillId="2" borderId="0" xfId="19" applyFont="1" applyFill="1" applyBorder="1" applyAlignment="1">
      <alignment horizontal="center"/>
    </xf>
    <xf numFmtId="170" fontId="10" fillId="0" borderId="0" xfId="0" applyNumberFormat="1" applyFont="1"/>
    <xf numFmtId="170" fontId="15" fillId="0" borderId="0" xfId="4" applyNumberFormat="1" applyFont="1" applyFill="1" applyAlignment="1">
      <alignment horizontal="center"/>
    </xf>
    <xf numFmtId="170" fontId="10" fillId="0" borderId="0" xfId="15" applyNumberFormat="1" applyFont="1" applyFill="1" applyBorder="1"/>
    <xf numFmtId="165" fontId="15" fillId="0" borderId="9" xfId="2" applyNumberFormat="1" applyFont="1" applyFill="1" applyBorder="1" applyAlignment="1" applyProtection="1">
      <alignment vertical="top" wrapText="1"/>
    </xf>
    <xf numFmtId="167" fontId="17" fillId="2" borderId="0" xfId="1" applyNumberFormat="1" applyFont="1" applyFill="1" applyBorder="1"/>
    <xf numFmtId="0" fontId="17" fillId="0" borderId="0" xfId="15" applyFont="1" applyFill="1"/>
    <xf numFmtId="0" fontId="15" fillId="0" borderId="9" xfId="15" applyFont="1" applyFill="1" applyBorder="1"/>
    <xf numFmtId="0" fontId="15" fillId="0" borderId="9" xfId="15" applyFont="1" applyFill="1" applyBorder="1" applyAlignment="1">
      <alignment wrapText="1"/>
    </xf>
    <xf numFmtId="0" fontId="15" fillId="0" borderId="9" xfId="15" applyFont="1" applyFill="1" applyBorder="1" applyAlignment="1">
      <alignment vertical="center"/>
    </xf>
    <xf numFmtId="0" fontId="17" fillId="2" borderId="9" xfId="16" applyFont="1" applyFill="1" applyBorder="1" applyAlignment="1">
      <alignment horizontal="center"/>
    </xf>
    <xf numFmtId="165" fontId="10" fillId="0" borderId="9" xfId="2" applyFont="1" applyFill="1" applyBorder="1" applyAlignment="1" applyProtection="1">
      <alignment horizontal="right" vertical="top"/>
    </xf>
    <xf numFmtId="165" fontId="10" fillId="0" borderId="0" xfId="2" applyFont="1" applyFill="1"/>
    <xf numFmtId="165" fontId="9" fillId="0" borderId="0" xfId="2" applyFont="1" applyFill="1" applyBorder="1"/>
    <xf numFmtId="165" fontId="10" fillId="0" borderId="0" xfId="2" applyFont="1" applyFill="1" applyBorder="1"/>
    <xf numFmtId="43" fontId="10" fillId="0" borderId="0" xfId="2" applyNumberFormat="1" applyFont="1" applyFill="1"/>
    <xf numFmtId="173" fontId="0" fillId="0" borderId="0" xfId="2" applyNumberFormat="1" applyFont="1"/>
    <xf numFmtId="170" fontId="15" fillId="0" borderId="9" xfId="3" applyNumberFormat="1" applyFont="1" applyFill="1" applyBorder="1"/>
    <xf numFmtId="165" fontId="16" fillId="0" borderId="0" xfId="2" applyFont="1" applyFill="1" applyBorder="1" applyAlignment="1" applyProtection="1">
      <alignment vertical="top" wrapText="1"/>
    </xf>
    <xf numFmtId="165" fontId="15" fillId="0" borderId="9" xfId="2" applyFont="1" applyFill="1" applyBorder="1" applyAlignment="1" applyProtection="1">
      <alignment vertical="top" wrapText="1"/>
    </xf>
    <xf numFmtId="165" fontId="16" fillId="0" borderId="9" xfId="2" applyFont="1" applyFill="1" applyBorder="1" applyAlignment="1" applyProtection="1">
      <alignment vertical="top" wrapText="1"/>
    </xf>
    <xf numFmtId="165" fontId="16" fillId="0" borderId="0" xfId="2" applyFont="1" applyFill="1" applyBorder="1" applyAlignment="1" applyProtection="1">
      <alignment horizontal="center" vertical="top" wrapText="1"/>
    </xf>
    <xf numFmtId="167" fontId="10" fillId="0" borderId="0" xfId="0" applyNumberFormat="1" applyFont="1"/>
    <xf numFmtId="3" fontId="10" fillId="0" borderId="0" xfId="0" applyNumberFormat="1" applyFont="1"/>
    <xf numFmtId="43" fontId="10" fillId="0" borderId="9" xfId="2" applyNumberFormat="1" applyFont="1" applyFill="1" applyBorder="1" applyAlignment="1" applyProtection="1">
      <alignment horizontal="right" vertical="center"/>
    </xf>
    <xf numFmtId="1" fontId="10" fillId="2" borderId="0" xfId="14" applyNumberFormat="1" applyFont="1" applyFill="1"/>
    <xf numFmtId="1" fontId="19" fillId="0" borderId="0" xfId="1" applyNumberFormat="1" applyFont="1" applyFill="1" applyBorder="1"/>
    <xf numFmtId="168" fontId="15" fillId="0" borderId="11" xfId="9" applyNumberFormat="1" applyFont="1" applyFill="1" applyBorder="1"/>
    <xf numFmtId="0" fontId="24" fillId="0" borderId="0" xfId="20" applyNumberFormat="1" applyFont="1" applyAlignment="1">
      <alignment vertical="center" wrapText="1"/>
    </xf>
    <xf numFmtId="0" fontId="25" fillId="0" borderId="0" xfId="20" applyNumberFormat="1" applyFont="1" applyAlignment="1">
      <alignment horizontal="center" vertical="center" wrapText="1" shrinkToFit="1"/>
    </xf>
    <xf numFmtId="0" fontId="25" fillId="0" borderId="0" xfId="20" applyNumberFormat="1" applyFont="1" applyAlignment="1">
      <alignment vertical="center" wrapText="1" shrinkToFit="1"/>
    </xf>
    <xf numFmtId="0" fontId="26" fillId="0" borderId="0" xfId="20" applyNumberFormat="1" applyFont="1" applyAlignment="1">
      <alignment horizontal="center" vertical="center" wrapText="1" shrinkToFit="1"/>
    </xf>
    <xf numFmtId="0" fontId="24" fillId="0" borderId="0" xfId="20" applyNumberFormat="1" applyFont="1" applyAlignment="1">
      <alignment horizontal="center" vertical="center" wrapText="1"/>
    </xf>
    <xf numFmtId="3" fontId="27" fillId="0" borderId="0" xfId="20" applyNumberFormat="1" applyFont="1" applyAlignment="1">
      <alignment vertical="center" wrapText="1"/>
    </xf>
    <xf numFmtId="3" fontId="24" fillId="0" borderId="0" xfId="20" applyNumberFormat="1" applyFont="1" applyAlignment="1">
      <alignment horizontal="right" vertical="center" wrapText="1"/>
    </xf>
    <xf numFmtId="3" fontId="24" fillId="0" borderId="0" xfId="20" applyNumberFormat="1" applyFont="1" applyAlignment="1">
      <alignment vertical="center" wrapText="1"/>
    </xf>
    <xf numFmtId="0" fontId="28" fillId="0" borderId="0" xfId="20" applyNumberFormat="1" applyFont="1" applyAlignment="1">
      <alignment horizontal="center" vertical="center" wrapText="1" shrinkToFit="1"/>
    </xf>
    <xf numFmtId="0" fontId="28" fillId="0" borderId="0" xfId="20" applyNumberFormat="1" applyFont="1" applyAlignment="1">
      <alignment vertical="center" wrapText="1" shrinkToFit="1"/>
    </xf>
    <xf numFmtId="0" fontId="28" fillId="0" borderId="0" xfId="20" applyNumberFormat="1" applyFont="1" applyBorder="1" applyAlignment="1">
      <alignment horizontal="center" vertical="center" wrapText="1" shrinkToFit="1"/>
    </xf>
    <xf numFmtId="3" fontId="30" fillId="0" borderId="0" xfId="20" applyNumberFormat="1" applyFont="1" applyAlignment="1">
      <alignment vertical="center" wrapText="1"/>
    </xf>
    <xf numFmtId="3" fontId="31" fillId="0" borderId="0" xfId="20" applyNumberFormat="1" applyFont="1" applyAlignment="1">
      <alignment horizontal="right" vertical="center" wrapText="1"/>
    </xf>
    <xf numFmtId="3" fontId="31" fillId="0" borderId="0" xfId="20" applyNumberFormat="1" applyFont="1" applyAlignment="1">
      <alignment vertical="center" wrapText="1"/>
    </xf>
    <xf numFmtId="0" fontId="31" fillId="0" borderId="0" xfId="20" applyFont="1" applyAlignment="1">
      <alignment vertical="center" wrapText="1"/>
    </xf>
    <xf numFmtId="0" fontId="32" fillId="0" borderId="0" xfId="20" applyFont="1" applyBorder="1" applyAlignment="1">
      <alignment horizontal="left" vertical="center" wrapText="1"/>
    </xf>
    <xf numFmtId="0" fontId="32" fillId="0" borderId="0" xfId="20" applyFont="1" applyBorder="1" applyAlignment="1">
      <alignment horizontal="center" vertical="center" wrapText="1"/>
    </xf>
    <xf numFmtId="3" fontId="32" fillId="0" borderId="0" xfId="20" applyNumberFormat="1" applyFont="1" applyBorder="1" applyAlignment="1">
      <alignment vertical="center" wrapText="1"/>
    </xf>
    <xf numFmtId="3" fontId="32" fillId="0" borderId="0" xfId="20" applyNumberFormat="1" applyFont="1" applyBorder="1" applyAlignment="1">
      <alignment horizontal="right" vertical="center" wrapText="1"/>
    </xf>
    <xf numFmtId="0" fontId="32" fillId="0" borderId="0" xfId="20" applyFont="1" applyBorder="1" applyAlignment="1">
      <alignment vertical="center" wrapText="1"/>
    </xf>
    <xf numFmtId="0" fontId="33" fillId="0" borderId="0" xfId="20" applyFont="1" applyBorder="1" applyAlignment="1">
      <alignment horizontal="center" vertical="center" wrapText="1"/>
    </xf>
    <xf numFmtId="0" fontId="20" fillId="0" borderId="22" xfId="20" applyFont="1" applyBorder="1" applyAlignment="1">
      <alignment horizontal="center" vertical="center" wrapText="1"/>
    </xf>
    <xf numFmtId="0" fontId="20" fillId="0" borderId="18" xfId="20" applyFont="1" applyBorder="1" applyAlignment="1">
      <alignment horizontal="center" vertical="center" wrapText="1"/>
    </xf>
    <xf numFmtId="176" fontId="34" fillId="0" borderId="18" xfId="22" applyNumberFormat="1" applyFont="1" applyBorder="1" applyAlignment="1">
      <alignment horizontal="center" vertical="center" wrapText="1"/>
    </xf>
    <xf numFmtId="176" fontId="34" fillId="0" borderId="22" xfId="22" applyNumberFormat="1" applyFont="1" applyBorder="1" applyAlignment="1">
      <alignment horizontal="center" vertical="center" wrapText="1"/>
    </xf>
    <xf numFmtId="176" fontId="34" fillId="0" borderId="19" xfId="22" applyNumberFormat="1" applyFont="1" applyBorder="1" applyAlignment="1">
      <alignment horizontal="center" vertical="center" wrapText="1"/>
    </xf>
    <xf numFmtId="3" fontId="32" fillId="0" borderId="0" xfId="20" applyNumberFormat="1" applyFont="1" applyAlignment="1">
      <alignment horizontal="right" vertical="center" wrapText="1"/>
    </xf>
    <xf numFmtId="3" fontId="32" fillId="0" borderId="0" xfId="20" applyNumberFormat="1" applyFont="1" applyAlignment="1">
      <alignment vertical="center" wrapText="1"/>
    </xf>
    <xf numFmtId="0" fontId="32" fillId="0" borderId="0" xfId="20" applyFont="1" applyAlignment="1">
      <alignment vertical="center" wrapText="1"/>
    </xf>
    <xf numFmtId="14" fontId="34" fillId="0" borderId="25" xfId="20" applyNumberFormat="1" applyFont="1" applyBorder="1" applyAlignment="1">
      <alignment horizontal="center" vertical="center" wrapText="1"/>
    </xf>
    <xf numFmtId="176" fontId="34" fillId="0" borderId="25" xfId="22" applyNumberFormat="1" applyFont="1" applyBorder="1" applyAlignment="1">
      <alignment horizontal="center" vertical="center" wrapText="1"/>
    </xf>
    <xf numFmtId="176" fontId="34" fillId="0" borderId="10" xfId="22" applyNumberFormat="1" applyFont="1" applyBorder="1" applyAlignment="1">
      <alignment horizontal="center" vertical="center" wrapText="1"/>
    </xf>
    <xf numFmtId="176" fontId="34" fillId="0" borderId="0" xfId="22" applyNumberFormat="1" applyFont="1" applyBorder="1" applyAlignment="1">
      <alignment horizontal="center" vertical="center" wrapText="1"/>
    </xf>
    <xf numFmtId="42" fontId="36" fillId="0" borderId="21" xfId="23" applyFont="1" applyBorder="1" applyAlignment="1">
      <alignment horizontal="center" vertical="center" wrapText="1"/>
    </xf>
    <xf numFmtId="42" fontId="36" fillId="0" borderId="1" xfId="23" applyFont="1" applyBorder="1" applyAlignment="1">
      <alignment horizontal="center" vertical="center" wrapText="1"/>
    </xf>
    <xf numFmtId="42" fontId="36" fillId="0" borderId="6" xfId="23" applyFont="1" applyBorder="1" applyAlignment="1">
      <alignment horizontal="center" vertical="center" wrapText="1"/>
    </xf>
    <xf numFmtId="42" fontId="36" fillId="0" borderId="30" xfId="23" applyFont="1" applyBorder="1" applyAlignment="1">
      <alignment horizontal="center" vertical="center" wrapText="1"/>
    </xf>
    <xf numFmtId="42" fontId="36" fillId="0" borderId="2" xfId="23" applyFont="1" applyBorder="1" applyAlignment="1">
      <alignment horizontal="center" vertical="center" wrapText="1"/>
    </xf>
    <xf numFmtId="42" fontId="36" fillId="0" borderId="4" xfId="23" applyFont="1" applyBorder="1" applyAlignment="1">
      <alignment horizontal="center" vertical="center" wrapText="1"/>
    </xf>
    <xf numFmtId="42" fontId="36" fillId="0" borderId="24" xfId="23" applyFont="1" applyBorder="1" applyAlignment="1">
      <alignment horizontal="center" vertical="center" wrapText="1"/>
    </xf>
    <xf numFmtId="42" fontId="36" fillId="0" borderId="32" xfId="23" applyFont="1" applyBorder="1" applyAlignment="1">
      <alignment horizontal="center" vertical="center" wrapText="1"/>
    </xf>
    <xf numFmtId="42" fontId="36" fillId="0" borderId="33" xfId="23" applyFont="1" applyBorder="1" applyAlignment="1">
      <alignment horizontal="center" vertical="center" wrapText="1"/>
    </xf>
    <xf numFmtId="177" fontId="39" fillId="0" borderId="21" xfId="22" applyNumberFormat="1" applyFont="1" applyBorder="1" applyAlignment="1">
      <alignment horizontal="center" vertical="center" wrapText="1"/>
    </xf>
    <xf numFmtId="42" fontId="39" fillId="0" borderId="21" xfId="23" applyFont="1" applyBorder="1" applyAlignment="1">
      <alignment horizontal="center" vertical="center" wrapText="1"/>
    </xf>
    <xf numFmtId="42" fontId="39" fillId="0" borderId="23" xfId="23" applyFont="1" applyBorder="1" applyAlignment="1">
      <alignment horizontal="center" vertical="center" wrapText="1"/>
    </xf>
    <xf numFmtId="177" fontId="39" fillId="0" borderId="30" xfId="22" applyNumberFormat="1" applyFont="1" applyBorder="1" applyAlignment="1">
      <alignment horizontal="center" vertical="center" wrapText="1"/>
    </xf>
    <xf numFmtId="42" fontId="39" fillId="0" borderId="30" xfId="23" applyFont="1" applyBorder="1" applyAlignment="1">
      <alignment horizontal="center" vertical="center" wrapText="1"/>
    </xf>
    <xf numFmtId="42" fontId="39" fillId="0" borderId="35" xfId="23" applyFont="1" applyBorder="1" applyAlignment="1">
      <alignment horizontal="center" vertical="center" wrapText="1"/>
    </xf>
    <xf numFmtId="177" fontId="39" fillId="0" borderId="24" xfId="22" applyNumberFormat="1" applyFont="1" applyBorder="1" applyAlignment="1">
      <alignment horizontal="center" vertical="center" wrapText="1"/>
    </xf>
    <xf numFmtId="42" fontId="39" fillId="0" borderId="24" xfId="23" applyFont="1" applyBorder="1" applyAlignment="1">
      <alignment horizontal="center" vertical="center" wrapText="1"/>
    </xf>
    <xf numFmtId="177" fontId="39" fillId="0" borderId="36" xfId="22" applyNumberFormat="1" applyFont="1" applyBorder="1" applyAlignment="1">
      <alignment horizontal="center" vertical="center" wrapText="1"/>
    </xf>
    <xf numFmtId="42" fontId="39" fillId="0" borderId="36" xfId="23" applyFont="1" applyBorder="1" applyAlignment="1">
      <alignment horizontal="center" vertical="center" wrapText="1"/>
    </xf>
    <xf numFmtId="177" fontId="39" fillId="0" borderId="34" xfId="22" applyNumberFormat="1" applyFont="1" applyBorder="1" applyAlignment="1">
      <alignment horizontal="center" vertical="center" wrapText="1"/>
    </xf>
    <xf numFmtId="42" fontId="39" fillId="0" borderId="34" xfId="23" applyFont="1" applyBorder="1" applyAlignment="1">
      <alignment horizontal="center" vertical="center" wrapText="1"/>
    </xf>
    <xf numFmtId="42" fontId="39" fillId="0" borderId="39" xfId="23" applyFont="1" applyBorder="1" applyAlignment="1">
      <alignment horizontal="center" vertical="center" wrapText="1"/>
    </xf>
    <xf numFmtId="42" fontId="39" fillId="0" borderId="21" xfId="23" applyFont="1" applyBorder="1" applyAlignment="1">
      <alignment vertical="center" wrapText="1"/>
    </xf>
    <xf numFmtId="42" fontId="39" fillId="0" borderId="23" xfId="23" applyFont="1" applyBorder="1" applyAlignment="1">
      <alignment vertical="center" wrapText="1"/>
    </xf>
    <xf numFmtId="42" fontId="39" fillId="0" borderId="36" xfId="23" applyFont="1" applyBorder="1" applyAlignment="1">
      <alignment vertical="center" wrapText="1"/>
    </xf>
    <xf numFmtId="42" fontId="39" fillId="0" borderId="35" xfId="23" applyFont="1" applyBorder="1" applyAlignment="1">
      <alignment vertical="center" wrapText="1"/>
    </xf>
    <xf numFmtId="42" fontId="39" fillId="0" borderId="30" xfId="23" applyFont="1" applyBorder="1" applyAlignment="1">
      <alignment vertical="center" wrapText="1"/>
    </xf>
    <xf numFmtId="42" fontId="39" fillId="0" borderId="40" xfId="23" applyFont="1" applyBorder="1" applyAlignment="1">
      <alignment vertical="center" wrapText="1"/>
    </xf>
    <xf numFmtId="42" fontId="39" fillId="0" borderId="10" xfId="23" applyFont="1" applyBorder="1" applyAlignment="1">
      <alignment vertical="center" wrapText="1"/>
    </xf>
    <xf numFmtId="42" fontId="39" fillId="0" borderId="31" xfId="23" applyFont="1" applyBorder="1" applyAlignment="1">
      <alignment vertical="center" wrapText="1"/>
    </xf>
    <xf numFmtId="42" fontId="39" fillId="0" borderId="34" xfId="23" applyFont="1" applyBorder="1" applyAlignment="1">
      <alignment vertical="center" wrapText="1"/>
    </xf>
    <xf numFmtId="42" fontId="39" fillId="0" borderId="39" xfId="23" applyFont="1" applyBorder="1" applyAlignment="1">
      <alignment vertical="center" wrapText="1"/>
    </xf>
    <xf numFmtId="0" fontId="38" fillId="0" borderId="18" xfId="20" applyFont="1" applyFill="1" applyBorder="1" applyAlignment="1">
      <alignment horizontal="center" vertical="center" wrapText="1"/>
    </xf>
    <xf numFmtId="0" fontId="38" fillId="0" borderId="22" xfId="20" applyFont="1" applyFill="1" applyBorder="1" applyAlignment="1">
      <alignment horizontal="center" vertical="center" wrapText="1"/>
    </xf>
    <xf numFmtId="0" fontId="39" fillId="0" borderId="22" xfId="20" applyFont="1" applyFill="1" applyBorder="1" applyAlignment="1">
      <alignment horizontal="center" vertical="center" wrapText="1"/>
    </xf>
    <xf numFmtId="42" fontId="39" fillId="0" borderId="22" xfId="23" applyFont="1" applyFill="1" applyBorder="1" applyAlignment="1">
      <alignment horizontal="center" vertical="center" wrapText="1"/>
    </xf>
    <xf numFmtId="42" fontId="39" fillId="0" borderId="19" xfId="23" applyFont="1" applyFill="1" applyBorder="1" applyAlignment="1">
      <alignment horizontal="center" vertical="center" wrapText="1"/>
    </xf>
    <xf numFmtId="14" fontId="39" fillId="0" borderId="22" xfId="22" applyNumberFormat="1" applyFont="1" applyFill="1" applyBorder="1" applyAlignment="1">
      <alignment horizontal="center" vertical="center" wrapText="1"/>
    </xf>
    <xf numFmtId="42" fontId="39" fillId="0" borderId="20" xfId="23" applyFont="1" applyFill="1" applyBorder="1" applyAlignment="1">
      <alignment horizontal="center" vertical="center" wrapText="1"/>
    </xf>
    <xf numFmtId="42" fontId="39" fillId="0" borderId="3" xfId="23" applyFont="1" applyFill="1" applyBorder="1" applyAlignment="1">
      <alignment horizontal="center" vertical="center" wrapText="1"/>
    </xf>
    <xf numFmtId="42" fontId="39" fillId="0" borderId="28" xfId="23" applyFont="1" applyFill="1" applyBorder="1" applyAlignment="1">
      <alignment horizontal="center" vertical="center" wrapText="1"/>
    </xf>
    <xf numFmtId="0" fontId="37" fillId="0" borderId="22" xfId="20" applyFont="1" applyFill="1" applyBorder="1" applyAlignment="1">
      <alignment horizontal="justify" vertical="center" wrapText="1"/>
    </xf>
    <xf numFmtId="14" fontId="39" fillId="0" borderId="22" xfId="22" applyNumberFormat="1" applyFont="1" applyFill="1" applyBorder="1" applyAlignment="1">
      <alignment vertical="center" wrapText="1"/>
    </xf>
    <xf numFmtId="42" fontId="39" fillId="0" borderId="19" xfId="23" applyFont="1" applyFill="1" applyBorder="1" applyAlignment="1">
      <alignment vertical="center" wrapText="1"/>
    </xf>
    <xf numFmtId="42" fontId="39" fillId="0" borderId="22" xfId="23" applyFont="1" applyFill="1" applyBorder="1" applyAlignment="1">
      <alignment vertical="center" wrapText="1"/>
    </xf>
    <xf numFmtId="14" fontId="39" fillId="0" borderId="10" xfId="22" applyNumberFormat="1" applyFont="1" applyFill="1" applyBorder="1" applyAlignment="1">
      <alignment vertical="center" wrapText="1"/>
    </xf>
    <xf numFmtId="42" fontId="39" fillId="0" borderId="38" xfId="23" applyFont="1" applyFill="1" applyBorder="1" applyAlignment="1">
      <alignment vertical="center" wrapText="1"/>
    </xf>
    <xf numFmtId="42" fontId="39" fillId="0" borderId="38" xfId="23" applyFont="1" applyFill="1" applyBorder="1" applyAlignment="1">
      <alignment horizontal="center" vertical="center" wrapText="1"/>
    </xf>
    <xf numFmtId="42" fontId="39" fillId="0" borderId="34" xfId="23" applyFont="1" applyFill="1" applyBorder="1" applyAlignment="1">
      <alignment horizontal="center" vertical="center" wrapText="1"/>
    </xf>
    <xf numFmtId="42" fontId="39" fillId="0" borderId="0" xfId="23" applyFont="1" applyFill="1" applyBorder="1" applyAlignment="1">
      <alignment horizontal="center" vertical="center" wrapText="1"/>
    </xf>
    <xf numFmtId="14" fontId="39" fillId="0" borderId="34" xfId="22" applyNumberFormat="1" applyFont="1" applyFill="1" applyBorder="1" applyAlignment="1">
      <alignment vertical="center" wrapText="1"/>
    </xf>
    <xf numFmtId="0" fontId="35" fillId="5" borderId="22" xfId="20" applyFont="1" applyFill="1" applyBorder="1" applyAlignment="1">
      <alignment horizontal="center" vertical="center" wrapText="1"/>
    </xf>
    <xf numFmtId="14" fontId="36" fillId="5" borderId="18" xfId="20" applyNumberFormat="1" applyFont="1" applyFill="1" applyBorder="1" applyAlignment="1">
      <alignment horizontal="center" vertical="center" wrapText="1"/>
    </xf>
    <xf numFmtId="14" fontId="34" fillId="5" borderId="18" xfId="20" applyNumberFormat="1" applyFont="1" applyFill="1" applyBorder="1" applyAlignment="1">
      <alignment horizontal="center" vertical="center" wrapText="1"/>
    </xf>
    <xf numFmtId="14" fontId="34" fillId="5" borderId="22" xfId="22" applyNumberFormat="1" applyFont="1" applyFill="1" applyBorder="1" applyAlignment="1">
      <alignment horizontal="center" vertical="center" wrapText="1"/>
    </xf>
    <xf numFmtId="176" fontId="34" fillId="5" borderId="19" xfId="22" applyNumberFormat="1" applyFont="1" applyFill="1" applyBorder="1" applyAlignment="1">
      <alignment horizontal="center" vertical="center" wrapText="1"/>
    </xf>
    <xf numFmtId="176" fontId="34" fillId="5" borderId="22" xfId="22" applyNumberFormat="1" applyFont="1" applyFill="1" applyBorder="1" applyAlignment="1">
      <alignment horizontal="center" vertical="center" wrapText="1"/>
    </xf>
    <xf numFmtId="0" fontId="40" fillId="5" borderId="20" xfId="20" applyFont="1" applyFill="1" applyBorder="1" applyAlignment="1">
      <alignment horizontal="justify" vertical="center" wrapText="1"/>
    </xf>
    <xf numFmtId="42" fontId="36" fillId="5" borderId="21" xfId="23" applyFont="1" applyFill="1" applyBorder="1" applyAlignment="1">
      <alignment horizontal="center" vertical="center" wrapText="1"/>
    </xf>
    <xf numFmtId="42" fontId="36" fillId="5" borderId="1" xfId="23" applyFont="1" applyFill="1" applyBorder="1" applyAlignment="1">
      <alignment horizontal="center" vertical="center" wrapText="1"/>
    </xf>
    <xf numFmtId="42" fontId="36" fillId="5" borderId="6" xfId="23" applyFont="1" applyFill="1" applyBorder="1" applyAlignment="1">
      <alignment horizontal="center" vertical="center" wrapText="1"/>
    </xf>
    <xf numFmtId="42" fontId="36" fillId="5" borderId="30" xfId="23" applyFont="1" applyFill="1" applyBorder="1" applyAlignment="1">
      <alignment horizontal="center" vertical="center" wrapText="1"/>
    </xf>
    <xf numFmtId="42" fontId="36" fillId="5" borderId="2" xfId="23" applyFont="1" applyFill="1" applyBorder="1" applyAlignment="1">
      <alignment horizontal="center" vertical="center" wrapText="1"/>
    </xf>
    <xf numFmtId="42" fontId="36" fillId="5" borderId="4" xfId="23" applyFont="1" applyFill="1" applyBorder="1" applyAlignment="1">
      <alignment horizontal="center" vertical="center" wrapText="1"/>
    </xf>
    <xf numFmtId="14" fontId="35" fillId="5" borderId="10" xfId="22" applyNumberFormat="1" applyFont="1" applyFill="1" applyBorder="1" applyAlignment="1">
      <alignment horizontal="center" vertical="center" wrapText="1"/>
    </xf>
    <xf numFmtId="176" fontId="36" fillId="5" borderId="0" xfId="22" applyNumberFormat="1" applyFont="1" applyFill="1" applyBorder="1" applyAlignment="1">
      <alignment horizontal="center" vertical="center" wrapText="1"/>
    </xf>
    <xf numFmtId="176" fontId="32" fillId="5" borderId="0" xfId="22" applyNumberFormat="1" applyFont="1" applyFill="1" applyBorder="1" applyAlignment="1">
      <alignment horizontal="center" vertical="center" wrapText="1"/>
    </xf>
    <xf numFmtId="176" fontId="34" fillId="5" borderId="10" xfId="22" applyNumberFormat="1" applyFont="1" applyFill="1" applyBorder="1" applyAlignment="1">
      <alignment horizontal="center" vertical="center" wrapText="1"/>
    </xf>
    <xf numFmtId="176" fontId="34" fillId="5" borderId="0" xfId="22" applyNumberFormat="1" applyFont="1" applyFill="1" applyBorder="1" applyAlignment="1">
      <alignment horizontal="center" vertical="center" wrapText="1"/>
    </xf>
    <xf numFmtId="0" fontId="38" fillId="5" borderId="18" xfId="20" applyFont="1" applyFill="1" applyBorder="1" applyAlignment="1">
      <alignment horizontal="center" vertical="center" wrapText="1"/>
    </xf>
    <xf numFmtId="0" fontId="38" fillId="5" borderId="22" xfId="20" applyFont="1" applyFill="1" applyBorder="1" applyAlignment="1">
      <alignment horizontal="center" vertical="center" wrapText="1"/>
    </xf>
    <xf numFmtId="14" fontId="39" fillId="5" borderId="22" xfId="20" applyNumberFormat="1" applyFont="1" applyFill="1" applyBorder="1" applyAlignment="1">
      <alignment horizontal="center" vertical="center" wrapText="1"/>
    </xf>
    <xf numFmtId="42" fontId="39" fillId="5" borderId="22" xfId="23" applyFont="1" applyFill="1" applyBorder="1" applyAlignment="1">
      <alignment horizontal="center" vertical="center" wrapText="1"/>
    </xf>
    <xf numFmtId="42" fontId="39" fillId="5" borderId="18" xfId="23" applyFont="1" applyFill="1" applyBorder="1" applyAlignment="1">
      <alignment horizontal="center" vertical="center" wrapText="1"/>
    </xf>
    <xf numFmtId="177" fontId="39" fillId="5" borderId="22" xfId="22" applyNumberFormat="1" applyFont="1" applyFill="1" applyBorder="1" applyAlignment="1">
      <alignment horizontal="center" vertical="center" wrapText="1"/>
    </xf>
    <xf numFmtId="42" fontId="39" fillId="5" borderId="19" xfId="23" applyFont="1" applyFill="1" applyBorder="1" applyAlignment="1">
      <alignment horizontal="center" vertical="center" wrapText="1"/>
    </xf>
    <xf numFmtId="42" fontId="39" fillId="5" borderId="19" xfId="23" applyFont="1" applyFill="1" applyBorder="1" applyAlignment="1">
      <alignment vertical="center" wrapText="1"/>
    </xf>
    <xf numFmtId="42" fontId="39" fillId="5" borderId="22" xfId="23" applyFont="1" applyFill="1" applyBorder="1" applyAlignment="1">
      <alignment vertical="center" wrapText="1"/>
    </xf>
    <xf numFmtId="0" fontId="38" fillId="5" borderId="37" xfId="20" applyFont="1" applyFill="1" applyBorder="1" applyAlignment="1">
      <alignment horizontal="center" vertical="center" wrapText="1"/>
    </xf>
    <xf numFmtId="0" fontId="38" fillId="5" borderId="34" xfId="20" applyFont="1" applyFill="1" applyBorder="1" applyAlignment="1">
      <alignment horizontal="center" vertical="center" wrapText="1"/>
    </xf>
    <xf numFmtId="0" fontId="39" fillId="5" borderId="34" xfId="20" applyFont="1" applyFill="1" applyBorder="1" applyAlignment="1">
      <alignment horizontal="center" vertical="center" wrapText="1"/>
    </xf>
    <xf numFmtId="42" fontId="39" fillId="5" borderId="34" xfId="23" applyFont="1" applyFill="1" applyBorder="1" applyAlignment="1">
      <alignment horizontal="center" vertical="center" wrapText="1"/>
    </xf>
    <xf numFmtId="42" fontId="39" fillId="5" borderId="38" xfId="23" applyFont="1" applyFill="1" applyBorder="1" applyAlignment="1">
      <alignment horizontal="center" vertical="center" wrapText="1"/>
    </xf>
    <xf numFmtId="14" fontId="39" fillId="5" borderId="34" xfId="22" applyNumberFormat="1" applyFont="1" applyFill="1" applyBorder="1" applyAlignment="1">
      <alignment horizontal="center" vertical="center" wrapText="1"/>
    </xf>
    <xf numFmtId="0" fontId="40" fillId="5" borderId="39" xfId="20" applyFont="1" applyFill="1" applyBorder="1" applyAlignment="1">
      <alignment horizontal="justify" vertical="center" wrapText="1"/>
    </xf>
    <xf numFmtId="0" fontId="39" fillId="5" borderId="22" xfId="20" applyFont="1" applyFill="1" applyBorder="1" applyAlignment="1">
      <alignment horizontal="center" vertical="center" wrapText="1"/>
    </xf>
    <xf numFmtId="14" fontId="39" fillId="5" borderId="22" xfId="22" applyNumberFormat="1" applyFont="1" applyFill="1" applyBorder="1" applyAlignment="1">
      <alignment horizontal="center" vertical="center" wrapText="1"/>
    </xf>
    <xf numFmtId="42" fontId="39" fillId="5" borderId="3" xfId="23" applyFont="1" applyFill="1" applyBorder="1" applyAlignment="1">
      <alignment horizontal="center" vertical="center" wrapText="1"/>
    </xf>
    <xf numFmtId="42" fontId="39" fillId="5" borderId="28" xfId="23" applyFont="1" applyFill="1" applyBorder="1" applyAlignment="1">
      <alignment horizontal="center" vertical="center" wrapText="1"/>
    </xf>
    <xf numFmtId="0" fontId="40" fillId="5" borderId="29" xfId="20" applyFont="1" applyFill="1" applyBorder="1" applyAlignment="1">
      <alignment horizontal="justify" vertical="center" wrapText="1"/>
    </xf>
    <xf numFmtId="14" fontId="39" fillId="5" borderId="21" xfId="22" applyNumberFormat="1" applyFont="1" applyFill="1" applyBorder="1" applyAlignment="1">
      <alignment vertical="center" wrapText="1"/>
    </xf>
    <xf numFmtId="42" fontId="39" fillId="5" borderId="41" xfId="23" applyFont="1" applyFill="1" applyBorder="1" applyAlignment="1">
      <alignment vertical="center" wrapText="1"/>
    </xf>
    <xf numFmtId="42" fontId="39" fillId="5" borderId="21" xfId="23" applyFont="1" applyFill="1" applyBorder="1" applyAlignment="1">
      <alignment horizontal="center" vertical="center" wrapText="1"/>
    </xf>
    <xf numFmtId="42" fontId="39" fillId="5" borderId="11" xfId="23" applyFont="1" applyFill="1" applyBorder="1" applyAlignment="1">
      <alignment horizontal="center" vertical="center" wrapText="1"/>
    </xf>
    <xf numFmtId="14" fontId="39" fillId="5" borderId="30" xfId="22" applyNumberFormat="1" applyFont="1" applyFill="1" applyBorder="1" applyAlignment="1">
      <alignment vertical="center" wrapText="1"/>
    </xf>
    <xf numFmtId="42" fontId="39" fillId="5" borderId="11" xfId="23" applyFont="1" applyFill="1" applyBorder="1" applyAlignment="1">
      <alignment vertical="center" wrapText="1"/>
    </xf>
    <xf numFmtId="42" fontId="39" fillId="5" borderId="30" xfId="23" applyFont="1" applyFill="1" applyBorder="1" applyAlignment="1">
      <alignment horizontal="center" vertical="center" wrapText="1"/>
    </xf>
    <xf numFmtId="14" fontId="39" fillId="5" borderId="34" xfId="22" applyNumberFormat="1" applyFont="1" applyFill="1" applyBorder="1" applyAlignment="1">
      <alignment vertical="center" wrapText="1"/>
    </xf>
    <xf numFmtId="42" fontId="39" fillId="5" borderId="38" xfId="23" applyFont="1" applyFill="1" applyBorder="1" applyAlignment="1">
      <alignment vertical="center" wrapText="1"/>
    </xf>
    <xf numFmtId="42" fontId="39" fillId="5" borderId="42" xfId="23" applyFont="1" applyFill="1" applyBorder="1" applyAlignment="1">
      <alignment horizontal="center" vertical="center" wrapText="1"/>
    </xf>
    <xf numFmtId="0" fontId="32" fillId="0" borderId="0" xfId="20" applyFont="1" applyAlignment="1">
      <alignment horizontal="center" vertical="center" wrapText="1"/>
    </xf>
    <xf numFmtId="14" fontId="32" fillId="0" borderId="0" xfId="20" applyNumberFormat="1" applyFont="1" applyAlignment="1">
      <alignment horizontal="center" vertical="center" wrapText="1"/>
    </xf>
    <xf numFmtId="177" fontId="32" fillId="0" borderId="0" xfId="22" applyNumberFormat="1" applyFont="1" applyBorder="1" applyAlignment="1">
      <alignment horizontal="right" vertical="center" wrapText="1"/>
    </xf>
    <xf numFmtId="14" fontId="42" fillId="0" borderId="0" xfId="22" applyNumberFormat="1" applyFont="1" applyAlignment="1">
      <alignment horizontal="center" vertical="center" wrapText="1"/>
    </xf>
    <xf numFmtId="177" fontId="42" fillId="0" borderId="0" xfId="22" applyNumberFormat="1" applyFont="1" applyBorder="1" applyAlignment="1">
      <alignment vertical="center" wrapText="1"/>
    </xf>
    <xf numFmtId="177" fontId="42" fillId="0" borderId="0" xfId="22" applyNumberFormat="1" applyFont="1" applyBorder="1" applyAlignment="1">
      <alignment horizontal="right" vertical="center" wrapText="1"/>
    </xf>
    <xf numFmtId="177" fontId="42" fillId="0" borderId="0" xfId="22" applyNumberFormat="1" applyFont="1" applyBorder="1" applyAlignment="1">
      <alignment horizontal="center" vertical="center" wrapText="1"/>
    </xf>
    <xf numFmtId="0" fontId="34" fillId="0" borderId="0" xfId="20" applyFont="1" applyAlignment="1">
      <alignment horizontal="center" vertical="center" wrapText="1"/>
    </xf>
    <xf numFmtId="37" fontId="34" fillId="0" borderId="0" xfId="22" applyNumberFormat="1" applyFont="1" applyBorder="1" applyAlignment="1">
      <alignment horizontal="right" vertical="center" wrapText="1"/>
    </xf>
    <xf numFmtId="14" fontId="43" fillId="0" borderId="0" xfId="22" applyNumberFormat="1" applyFont="1" applyAlignment="1">
      <alignment horizontal="center" vertical="center" wrapText="1"/>
    </xf>
    <xf numFmtId="37" fontId="43" fillId="0" borderId="0" xfId="22" applyNumberFormat="1" applyFont="1" applyBorder="1" applyAlignment="1">
      <alignment vertical="center" wrapText="1"/>
    </xf>
    <xf numFmtId="37" fontId="43" fillId="0" borderId="0" xfId="22" applyNumberFormat="1" applyFont="1" applyBorder="1" applyAlignment="1">
      <alignment horizontal="right" vertical="center" wrapText="1"/>
    </xf>
    <xf numFmtId="0" fontId="44" fillId="0" borderId="0" xfId="20" applyFont="1" applyAlignment="1">
      <alignment horizontal="center" vertical="center" wrapText="1"/>
    </xf>
    <xf numFmtId="0" fontId="35" fillId="0" borderId="0" xfId="20" applyFont="1" applyAlignment="1">
      <alignment horizontal="center" vertical="center" wrapText="1"/>
    </xf>
    <xf numFmtId="176" fontId="35" fillId="0" borderId="0" xfId="22" applyNumberFormat="1" applyFont="1" applyAlignment="1">
      <alignment vertical="center" wrapText="1"/>
    </xf>
    <xf numFmtId="14" fontId="38" fillId="0" borderId="0" xfId="22" applyNumberFormat="1" applyFont="1" applyAlignment="1">
      <alignment horizontal="center" vertical="center" wrapText="1"/>
    </xf>
    <xf numFmtId="176" fontId="38" fillId="0" borderId="0" xfId="22" applyNumberFormat="1" applyFont="1" applyAlignment="1">
      <alignment vertical="center" wrapText="1"/>
    </xf>
    <xf numFmtId="176" fontId="37" fillId="0" borderId="0" xfId="22" applyNumberFormat="1" applyFont="1" applyAlignment="1">
      <alignment vertical="center" wrapText="1"/>
    </xf>
    <xf numFmtId="3" fontId="37" fillId="0" borderId="0" xfId="22" applyNumberFormat="1" applyFont="1" applyAlignment="1">
      <alignment horizontal="right" vertical="center" wrapText="1"/>
    </xf>
    <xf numFmtId="3" fontId="45" fillId="0" borderId="0" xfId="20" applyNumberFormat="1" applyFont="1" applyAlignment="1">
      <alignment vertical="center" wrapText="1"/>
    </xf>
    <xf numFmtId="0" fontId="45" fillId="0" borderId="0" xfId="20" applyFont="1" applyAlignment="1">
      <alignment vertical="center" wrapText="1"/>
    </xf>
    <xf numFmtId="0" fontId="31" fillId="0" borderId="0" xfId="20" applyFont="1" applyAlignment="1">
      <alignment horizontal="center" vertical="center" wrapText="1"/>
    </xf>
    <xf numFmtId="176" fontId="31" fillId="0" borderId="0" xfId="22" applyNumberFormat="1" applyFont="1" applyAlignment="1">
      <alignment vertical="center" wrapText="1"/>
    </xf>
    <xf numFmtId="14" fontId="31" fillId="0" borderId="0" xfId="22" applyNumberFormat="1" applyFont="1" applyAlignment="1">
      <alignment horizontal="center" vertical="center" wrapText="1"/>
    </xf>
    <xf numFmtId="3" fontId="37" fillId="0" borderId="0" xfId="22" applyNumberFormat="1" applyFont="1" applyBorder="1" applyAlignment="1">
      <alignment horizontal="right" vertical="center" wrapText="1"/>
    </xf>
    <xf numFmtId="3" fontId="31" fillId="0" borderId="0" xfId="20" applyNumberFormat="1" applyFont="1" applyBorder="1" applyAlignment="1">
      <alignment vertical="center" wrapText="1"/>
    </xf>
    <xf numFmtId="0" fontId="31" fillId="0" borderId="0" xfId="20" applyFont="1" applyBorder="1" applyAlignment="1">
      <alignment vertical="center" wrapText="1"/>
    </xf>
    <xf numFmtId="14" fontId="31" fillId="0" borderId="0" xfId="20" applyNumberFormat="1" applyFont="1" applyAlignment="1">
      <alignment horizontal="center" vertical="center" wrapText="1"/>
    </xf>
    <xf numFmtId="3" fontId="31" fillId="0" borderId="0" xfId="20" applyNumberFormat="1" applyFont="1" applyBorder="1" applyAlignment="1">
      <alignment horizontal="right" vertical="center" wrapText="1"/>
    </xf>
    <xf numFmtId="0" fontId="45" fillId="0" borderId="0" xfId="20" applyFont="1" applyAlignment="1">
      <alignment horizontal="center" vertical="center" wrapText="1"/>
    </xf>
    <xf numFmtId="0" fontId="37" fillId="0" borderId="0" xfId="20" applyFont="1" applyAlignment="1">
      <alignment horizontal="center" vertical="center" wrapText="1"/>
    </xf>
    <xf numFmtId="3" fontId="46" fillId="0" borderId="0" xfId="20" applyNumberFormat="1" applyFont="1" applyAlignment="1">
      <alignment vertical="center" wrapText="1"/>
    </xf>
    <xf numFmtId="3" fontId="47" fillId="0" borderId="0" xfId="20" applyNumberFormat="1" applyFont="1" applyBorder="1" applyAlignment="1">
      <alignment horizontal="right" vertical="center" wrapText="1" shrinkToFit="1"/>
    </xf>
    <xf numFmtId="0" fontId="40" fillId="0" borderId="0" xfId="20" applyFont="1" applyBorder="1" applyAlignment="1">
      <alignment horizontal="left" vertical="center" wrapText="1"/>
    </xf>
    <xf numFmtId="0" fontId="40" fillId="0" borderId="0" xfId="20" applyFont="1" applyBorder="1" applyAlignment="1">
      <alignment horizontal="center" vertical="center"/>
    </xf>
    <xf numFmtId="3" fontId="47" fillId="0" borderId="0" xfId="20" applyNumberFormat="1" applyFont="1" applyFill="1" applyBorder="1" applyAlignment="1">
      <alignment horizontal="right" vertical="center" wrapText="1" shrinkToFit="1"/>
    </xf>
    <xf numFmtId="3" fontId="47" fillId="0" borderId="0" xfId="20" applyNumberFormat="1" applyFont="1" applyBorder="1" applyAlignment="1">
      <alignment vertical="center" wrapText="1" shrinkToFit="1"/>
    </xf>
    <xf numFmtId="0" fontId="37" fillId="0" borderId="0" xfId="20" applyFont="1" applyAlignment="1">
      <alignment vertical="center" wrapText="1"/>
    </xf>
    <xf numFmtId="14" fontId="37" fillId="0" borderId="0" xfId="20" applyNumberFormat="1" applyFont="1" applyAlignment="1">
      <alignment horizontal="center" vertical="center" wrapText="1"/>
    </xf>
    <xf numFmtId="14" fontId="37" fillId="0" borderId="0" xfId="22" applyNumberFormat="1" applyFont="1" applyAlignment="1">
      <alignment horizontal="center" vertical="center" wrapText="1"/>
    </xf>
    <xf numFmtId="3" fontId="45" fillId="0" borderId="0" xfId="20" applyNumberFormat="1" applyFont="1" applyBorder="1" applyAlignment="1">
      <alignment horizontal="right" vertical="center" wrapText="1"/>
    </xf>
    <xf numFmtId="3" fontId="45" fillId="0" borderId="0" xfId="20" applyNumberFormat="1" applyFont="1" applyBorder="1" applyAlignment="1">
      <alignment vertical="center" wrapText="1"/>
    </xf>
    <xf numFmtId="0" fontId="45" fillId="0" borderId="0" xfId="20" applyFont="1" applyBorder="1" applyAlignment="1">
      <alignment vertical="center" wrapText="1"/>
    </xf>
    <xf numFmtId="176" fontId="44" fillId="0" borderId="0" xfId="22" applyNumberFormat="1" applyFont="1" applyAlignment="1">
      <alignment vertical="center" wrapText="1"/>
    </xf>
    <xf numFmtId="37" fontId="37" fillId="0" borderId="0" xfId="22" applyNumberFormat="1" applyFont="1" applyAlignment="1">
      <alignment vertical="center" wrapText="1"/>
    </xf>
    <xf numFmtId="0" fontId="48" fillId="0" borderId="0" xfId="20" applyFont="1" applyAlignment="1">
      <alignment vertical="center" wrapText="1"/>
    </xf>
    <xf numFmtId="14" fontId="48" fillId="0" borderId="0" xfId="20" applyNumberFormat="1" applyFont="1" applyAlignment="1">
      <alignment horizontal="center" vertical="center" wrapText="1"/>
    </xf>
    <xf numFmtId="0" fontId="48" fillId="0" borderId="0" xfId="20" applyFont="1" applyAlignment="1">
      <alignment horizontal="center" vertical="center" wrapText="1"/>
    </xf>
    <xf numFmtId="176" fontId="48" fillId="0" borderId="0" xfId="22" applyNumberFormat="1" applyFont="1" applyAlignment="1">
      <alignment vertical="center" wrapText="1"/>
    </xf>
    <xf numFmtId="14" fontId="48" fillId="0" borderId="0" xfId="22" applyNumberFormat="1" applyFont="1" applyAlignment="1">
      <alignment horizontal="center" vertical="center" wrapText="1"/>
    </xf>
    <xf numFmtId="0" fontId="50" fillId="0" borderId="0" xfId="0" applyFont="1"/>
    <xf numFmtId="0" fontId="50" fillId="0" borderId="0" xfId="0" applyFont="1" applyAlignment="1">
      <alignment horizontal="left"/>
    </xf>
    <xf numFmtId="166" fontId="50" fillId="0" borderId="0" xfId="1" applyFont="1"/>
    <xf numFmtId="4" fontId="50" fillId="0" borderId="0" xfId="0" applyNumberFormat="1" applyFont="1"/>
    <xf numFmtId="0" fontId="49" fillId="0" borderId="0" xfId="0" applyFont="1" applyAlignment="1">
      <alignment horizontal="left"/>
    </xf>
    <xf numFmtId="166" fontId="50" fillId="0" borderId="0" xfId="1" applyFont="1" applyFill="1"/>
    <xf numFmtId="14" fontId="51" fillId="0" borderId="0" xfId="0" applyNumberFormat="1" applyFont="1" applyFill="1" applyBorder="1" applyAlignment="1" applyProtection="1">
      <alignment horizontal="left" vertical="top" wrapText="1"/>
    </xf>
    <xf numFmtId="0" fontId="50" fillId="0" borderId="0" xfId="0" applyFont="1" applyFill="1"/>
    <xf numFmtId="43" fontId="50" fillId="0" borderId="0" xfId="0" applyNumberFormat="1" applyFont="1" applyFill="1"/>
    <xf numFmtId="0" fontId="50" fillId="0" borderId="0" xfId="0" applyNumberFormat="1" applyFont="1" applyFill="1" applyBorder="1" applyAlignment="1" applyProtection="1">
      <alignment horizontal="left" vertical="top" wrapText="1"/>
    </xf>
    <xf numFmtId="166" fontId="50" fillId="0" borderId="0" xfId="0" applyNumberFormat="1" applyFont="1"/>
    <xf numFmtId="43" fontId="50" fillId="0" borderId="0" xfId="0" applyNumberFormat="1" applyFont="1"/>
    <xf numFmtId="0" fontId="50" fillId="0" borderId="0" xfId="0" applyFont="1" applyFill="1" applyAlignment="1">
      <alignment horizontal="left"/>
    </xf>
    <xf numFmtId="0" fontId="49" fillId="0" borderId="9" xfId="0" applyFont="1" applyFill="1" applyBorder="1" applyAlignment="1">
      <alignment horizontal="center" wrapText="1"/>
    </xf>
    <xf numFmtId="0" fontId="50" fillId="0" borderId="9" xfId="0" applyFont="1" applyBorder="1" applyAlignment="1">
      <alignment vertical="center"/>
    </xf>
    <xf numFmtId="168" fontId="50" fillId="0" borderId="9" xfId="9" applyNumberFormat="1" applyFont="1" applyFill="1" applyBorder="1"/>
    <xf numFmtId="1" fontId="50" fillId="0" borderId="9" xfId="1" applyNumberFormat="1" applyFont="1" applyBorder="1" applyAlignment="1">
      <alignment horizontal="center"/>
    </xf>
    <xf numFmtId="170" fontId="51" fillId="0" borderId="9" xfId="3" applyNumberFormat="1" applyFont="1" applyFill="1" applyBorder="1" applyAlignment="1" applyProtection="1">
      <alignment vertical="top"/>
      <protection locked="0"/>
    </xf>
    <xf numFmtId="0" fontId="50" fillId="0" borderId="12" xfId="0" applyFont="1" applyBorder="1" applyAlignment="1">
      <alignment vertical="center"/>
    </xf>
    <xf numFmtId="1" fontId="50" fillId="0" borderId="12" xfId="1" applyNumberFormat="1" applyFont="1" applyBorder="1" applyAlignment="1"/>
    <xf numFmtId="167" fontId="50" fillId="0" borderId="12" xfId="1" applyNumberFormat="1" applyFont="1" applyBorder="1" applyAlignment="1"/>
    <xf numFmtId="0" fontId="51" fillId="0" borderId="9" xfId="0" applyNumberFormat="1" applyFont="1" applyFill="1" applyBorder="1" applyAlignment="1" applyProtection="1">
      <alignment vertical="top" wrapText="1"/>
    </xf>
    <xf numFmtId="167" fontId="51" fillId="0" borderId="9" xfId="1" applyNumberFormat="1" applyFont="1" applyFill="1" applyBorder="1" applyAlignment="1" applyProtection="1">
      <alignment vertical="top" wrapText="1"/>
    </xf>
    <xf numFmtId="0" fontId="51" fillId="0" borderId="13" xfId="0" applyNumberFormat="1" applyFont="1" applyFill="1" applyBorder="1" applyAlignment="1" applyProtection="1">
      <alignment vertical="top" wrapText="1"/>
    </xf>
    <xf numFmtId="167" fontId="51" fillId="0" borderId="13" xfId="1" applyNumberFormat="1" applyFont="1" applyFill="1" applyBorder="1" applyAlignment="1" applyProtection="1">
      <alignment vertical="top" wrapText="1"/>
    </xf>
    <xf numFmtId="170" fontId="51" fillId="0" borderId="9" xfId="3" applyNumberFormat="1" applyFont="1" applyFill="1" applyBorder="1" applyAlignment="1" applyProtection="1">
      <alignment horizontal="center" vertical="center"/>
      <protection locked="0"/>
    </xf>
    <xf numFmtId="169" fontId="50" fillId="0" borderId="9" xfId="0" applyNumberFormat="1" applyFont="1" applyBorder="1" applyAlignment="1">
      <alignment horizontal="left"/>
    </xf>
    <xf numFmtId="0" fontId="50" fillId="0" borderId="9" xfId="0" applyFont="1" applyBorder="1"/>
    <xf numFmtId="168" fontId="50" fillId="0" borderId="0" xfId="0" applyNumberFormat="1" applyFont="1"/>
    <xf numFmtId="15" fontId="49" fillId="0" borderId="9" xfId="0" applyNumberFormat="1" applyFont="1" applyFill="1" applyBorder="1" applyAlignment="1">
      <alignment horizontal="left"/>
    </xf>
    <xf numFmtId="174" fontId="50" fillId="0" borderId="9" xfId="0" applyNumberFormat="1" applyFont="1" applyBorder="1" applyAlignment="1">
      <alignment horizontal="left"/>
    </xf>
    <xf numFmtId="174" fontId="50" fillId="0" borderId="1" xfId="0" applyNumberFormat="1" applyFont="1" applyBorder="1" applyAlignment="1">
      <alignment horizontal="left"/>
    </xf>
    <xf numFmtId="14" fontId="51" fillId="0" borderId="2" xfId="0" applyNumberFormat="1" applyFont="1" applyFill="1" applyBorder="1" applyAlignment="1" applyProtection="1">
      <alignment horizontal="left" vertical="top" wrapText="1"/>
    </xf>
    <xf numFmtId="14" fontId="51" fillId="0" borderId="5" xfId="0" applyNumberFormat="1" applyFont="1" applyFill="1" applyBorder="1" applyAlignment="1" applyProtection="1">
      <alignment horizontal="left" vertical="top" wrapText="1"/>
    </xf>
    <xf numFmtId="14" fontId="51" fillId="0" borderId="9" xfId="0" applyNumberFormat="1" applyFont="1" applyFill="1" applyBorder="1" applyAlignment="1" applyProtection="1">
      <alignment horizontal="left" vertical="top" wrapText="1"/>
    </xf>
    <xf numFmtId="15" fontId="49" fillId="0" borderId="11" xfId="0" applyNumberFormat="1" applyFont="1" applyFill="1" applyBorder="1" applyAlignment="1">
      <alignment horizontal="left"/>
    </xf>
    <xf numFmtId="0" fontId="50" fillId="0" borderId="11" xfId="0" applyFont="1" applyFill="1" applyBorder="1" applyAlignment="1">
      <alignment wrapText="1"/>
    </xf>
    <xf numFmtId="170" fontId="17" fillId="6" borderId="9" xfId="1" applyNumberFormat="1" applyFont="1" applyFill="1" applyBorder="1" applyAlignment="1">
      <alignment horizontal="right"/>
    </xf>
    <xf numFmtId="0" fontId="15" fillId="0" borderId="46" xfId="15" applyFont="1" applyFill="1" applyBorder="1"/>
    <xf numFmtId="170" fontId="10" fillId="0" borderId="46" xfId="3" applyNumberFormat="1" applyFont="1" applyFill="1" applyBorder="1" applyAlignment="1" applyProtection="1">
      <alignment horizontal="right" vertical="top"/>
    </xf>
    <xf numFmtId="0" fontId="15" fillId="0" borderId="47" xfId="15" applyFont="1" applyFill="1" applyBorder="1"/>
    <xf numFmtId="165" fontId="16" fillId="0" borderId="47" xfId="2" applyFont="1" applyFill="1" applyBorder="1" applyAlignment="1" applyProtection="1">
      <alignment vertical="top" wrapText="1"/>
    </xf>
    <xf numFmtId="0" fontId="17" fillId="6" borderId="9" xfId="15" applyFont="1" applyFill="1" applyBorder="1"/>
    <xf numFmtId="0" fontId="0" fillId="6" borderId="11" xfId="0" applyFill="1" applyBorder="1"/>
    <xf numFmtId="9" fontId="15" fillId="0" borderId="9" xfId="18" applyFont="1" applyFill="1" applyBorder="1" applyAlignment="1">
      <alignment horizontal="right"/>
    </xf>
    <xf numFmtId="9" fontId="15" fillId="0" borderId="47" xfId="18" applyFont="1" applyFill="1" applyBorder="1" applyAlignment="1">
      <alignment horizontal="right"/>
    </xf>
    <xf numFmtId="170" fontId="15" fillId="0" borderId="9" xfId="18" applyNumberFormat="1" applyFont="1" applyFill="1" applyBorder="1" applyAlignment="1">
      <alignment horizontal="right"/>
    </xf>
    <xf numFmtId="9" fontId="10" fillId="0" borderId="0" xfId="0" applyNumberFormat="1" applyFont="1"/>
    <xf numFmtId="9" fontId="15" fillId="6" borderId="9" xfId="18" applyFont="1" applyFill="1" applyBorder="1" applyAlignment="1">
      <alignment horizontal="right"/>
    </xf>
    <xf numFmtId="9" fontId="15" fillId="0" borderId="0" xfId="18" applyFont="1" applyFill="1" applyAlignment="1">
      <alignment horizontal="center"/>
    </xf>
    <xf numFmtId="9" fontId="15" fillId="0" borderId="0" xfId="18" applyFont="1" applyFill="1"/>
    <xf numFmtId="9" fontId="10" fillId="0" borderId="0" xfId="18" applyFont="1" applyFill="1" applyAlignment="1">
      <alignment horizontal="center"/>
    </xf>
    <xf numFmtId="9" fontId="52" fillId="0" borderId="0" xfId="18" applyFont="1" applyFill="1" applyAlignment="1">
      <alignment horizontal="center"/>
    </xf>
    <xf numFmtId="9" fontId="52" fillId="0" borderId="0" xfId="18" applyFont="1" applyFill="1"/>
    <xf numFmtId="9" fontId="54" fillId="0" borderId="0" xfId="18" applyFont="1" applyFill="1" applyAlignment="1">
      <alignment horizontal="center"/>
    </xf>
    <xf numFmtId="0" fontId="55" fillId="7" borderId="0" xfId="0" applyFont="1" applyFill="1"/>
    <xf numFmtId="0" fontId="56" fillId="7" borderId="0" xfId="0" applyFont="1" applyFill="1"/>
    <xf numFmtId="0" fontId="57" fillId="7" borderId="0" xfId="0" applyFont="1" applyFill="1"/>
    <xf numFmtId="0" fontId="57" fillId="7" borderId="16" xfId="0" applyFont="1" applyFill="1" applyBorder="1" applyAlignment="1">
      <alignment horizontal="center"/>
    </xf>
    <xf numFmtId="0" fontId="57" fillId="3" borderId="11" xfId="0" applyFont="1" applyFill="1" applyBorder="1" applyAlignment="1">
      <alignment horizontal="center"/>
    </xf>
    <xf numFmtId="0" fontId="57" fillId="7" borderId="17" xfId="0" applyFont="1" applyFill="1" applyBorder="1" applyAlignment="1">
      <alignment horizontal="center"/>
    </xf>
    <xf numFmtId="0" fontId="57" fillId="7" borderId="48" xfId="0" applyFont="1" applyFill="1" applyBorder="1"/>
    <xf numFmtId="4" fontId="57" fillId="3" borderId="0" xfId="0" applyNumberFormat="1" applyFont="1" applyFill="1" applyAlignment="1">
      <alignment horizontal="right"/>
    </xf>
    <xf numFmtId="0" fontId="57" fillId="7" borderId="49" xfId="0" applyFont="1" applyFill="1" applyBorder="1"/>
    <xf numFmtId="0" fontId="58" fillId="7" borderId="48" xfId="0" applyFont="1" applyFill="1" applyBorder="1"/>
    <xf numFmtId="0" fontId="58" fillId="3" borderId="0" xfId="0" applyFont="1" applyFill="1"/>
    <xf numFmtId="4" fontId="58" fillId="7" borderId="49" xfId="0" applyNumberFormat="1" applyFont="1" applyFill="1" applyBorder="1" applyAlignment="1">
      <alignment horizontal="right"/>
    </xf>
    <xf numFmtId="0" fontId="60" fillId="7" borderId="48" xfId="0" applyFont="1" applyFill="1" applyBorder="1"/>
    <xf numFmtId="4" fontId="60" fillId="3" borderId="0" xfId="0" applyNumberFormat="1" applyFont="1" applyFill="1" applyAlignment="1">
      <alignment horizontal="right"/>
    </xf>
    <xf numFmtId="0" fontId="58" fillId="7" borderId="49" xfId="0" applyFont="1" applyFill="1" applyBorder="1"/>
    <xf numFmtId="0" fontId="57" fillId="7" borderId="16" xfId="0" applyFont="1" applyFill="1" applyBorder="1"/>
    <xf numFmtId="4" fontId="61" fillId="3" borderId="11" xfId="0" applyNumberFormat="1" applyFont="1" applyFill="1" applyBorder="1" applyAlignment="1">
      <alignment horizontal="right"/>
    </xf>
    <xf numFmtId="4" fontId="61" fillId="7" borderId="17" xfId="0" applyNumberFormat="1" applyFont="1" applyFill="1" applyBorder="1" applyAlignment="1">
      <alignment horizontal="right"/>
    </xf>
    <xf numFmtId="14" fontId="49" fillId="0" borderId="50" xfId="0" applyNumberFormat="1" applyFont="1" applyFill="1" applyBorder="1" applyAlignment="1">
      <alignment horizontal="left"/>
    </xf>
    <xf numFmtId="0" fontId="50" fillId="0" borderId="50" xfId="0" applyFont="1" applyFill="1" applyBorder="1"/>
    <xf numFmtId="166" fontId="50" fillId="0" borderId="50" xfId="1" applyFont="1" applyFill="1" applyBorder="1"/>
    <xf numFmtId="4" fontId="50" fillId="0" borderId="50" xfId="0" applyNumberFormat="1" applyFont="1" applyBorder="1"/>
    <xf numFmtId="0" fontId="50" fillId="0" borderId="50" xfId="0" applyFont="1" applyBorder="1"/>
    <xf numFmtId="14" fontId="49" fillId="0" borderId="0" xfId="0" applyNumberFormat="1" applyFont="1" applyFill="1" applyBorder="1" applyAlignment="1">
      <alignment horizontal="left"/>
    </xf>
    <xf numFmtId="0" fontId="50" fillId="0" borderId="0" xfId="0" applyFont="1" applyFill="1" applyBorder="1"/>
    <xf numFmtId="166" fontId="50" fillId="0" borderId="0" xfId="1" applyFont="1" applyFill="1" applyBorder="1"/>
    <xf numFmtId="4" fontId="50" fillId="0" borderId="0" xfId="0" applyNumberFormat="1" applyFont="1" applyBorder="1"/>
    <xf numFmtId="0" fontId="50" fillId="0" borderId="0" xfId="0" applyFont="1" applyBorder="1"/>
    <xf numFmtId="0" fontId="18" fillId="0" borderId="0" xfId="14" applyFont="1" applyFill="1"/>
    <xf numFmtId="0" fontId="62" fillId="0" borderId="0" xfId="0" applyNumberFormat="1" applyFont="1" applyFill="1" applyBorder="1" applyAlignment="1" applyProtection="1">
      <alignment horizontal="left" vertical="top" wrapText="1"/>
    </xf>
    <xf numFmtId="170" fontId="62" fillId="0" borderId="0" xfId="1" applyNumberFormat="1" applyFont="1" applyFill="1" applyBorder="1" applyAlignment="1" applyProtection="1">
      <alignment horizontal="left" vertical="top" wrapText="1"/>
    </xf>
    <xf numFmtId="0" fontId="64" fillId="0" borderId="0" xfId="0" applyNumberFormat="1" applyFont="1" applyFill="1" applyBorder="1" applyAlignment="1" applyProtection="1">
      <alignment horizontal="right" vertical="top" wrapText="1"/>
    </xf>
    <xf numFmtId="170" fontId="64" fillId="0" borderId="0" xfId="1" applyNumberFormat="1" applyFont="1" applyFill="1" applyBorder="1" applyAlignment="1" applyProtection="1">
      <alignment horizontal="right" vertical="top" wrapText="1"/>
    </xf>
    <xf numFmtId="167" fontId="8" fillId="0" borderId="0" xfId="24" applyNumberFormat="1"/>
    <xf numFmtId="0" fontId="22" fillId="0" borderId="0" xfId="0" applyNumberFormat="1" applyFont="1" applyFill="1" applyBorder="1" applyAlignment="1" applyProtection="1">
      <alignment horizontal="left" vertical="top" wrapText="1"/>
    </xf>
    <xf numFmtId="17" fontId="15" fillId="0" borderId="0" xfId="14" applyNumberFormat="1" applyFont="1" applyBorder="1" applyAlignment="1">
      <alignment horizontal="center"/>
    </xf>
    <xf numFmtId="0" fontId="15" fillId="0" borderId="0" xfId="14" applyFont="1" applyBorder="1" applyAlignment="1">
      <alignment horizontal="center"/>
    </xf>
    <xf numFmtId="167" fontId="8" fillId="0" borderId="0" xfId="11" applyNumberFormat="1" applyFont="1" applyFill="1"/>
    <xf numFmtId="0" fontId="8" fillId="0" borderId="0" xfId="14" applyFont="1" applyFill="1"/>
    <xf numFmtId="9" fontId="52" fillId="0" borderId="16" xfId="18" applyFont="1" applyFill="1" applyBorder="1" applyAlignment="1">
      <alignment horizontal="center"/>
    </xf>
    <xf numFmtId="9" fontId="52" fillId="0" borderId="16" xfId="18" applyFont="1" applyFill="1" applyBorder="1" applyAlignment="1">
      <alignment horizontal="right"/>
    </xf>
    <xf numFmtId="9" fontId="52" fillId="0" borderId="51" xfId="18" applyFont="1" applyFill="1" applyBorder="1" applyAlignment="1">
      <alignment horizontal="right"/>
    </xf>
    <xf numFmtId="9" fontId="52" fillId="6" borderId="16" xfId="18" applyFont="1" applyFill="1" applyBorder="1" applyAlignment="1">
      <alignment horizontal="right"/>
    </xf>
    <xf numFmtId="9" fontId="52" fillId="0" borderId="52" xfId="18" applyFont="1" applyFill="1" applyBorder="1" applyAlignment="1">
      <alignment horizontal="right"/>
    </xf>
    <xf numFmtId="170" fontId="8" fillId="0" borderId="1" xfId="4" applyNumberFormat="1" applyFont="1" applyFill="1" applyBorder="1" applyAlignment="1">
      <alignment horizontal="center"/>
    </xf>
    <xf numFmtId="170" fontId="10" fillId="0" borderId="12" xfId="4" applyNumberFormat="1" applyFont="1" applyFill="1" applyBorder="1" applyAlignment="1">
      <alignment horizontal="center"/>
    </xf>
    <xf numFmtId="9" fontId="52" fillId="0" borderId="6" xfId="18" applyFont="1" applyFill="1" applyBorder="1" applyAlignment="1">
      <alignment horizontal="center"/>
    </xf>
    <xf numFmtId="165" fontId="16" fillId="0" borderId="2" xfId="2" applyFont="1" applyFill="1" applyBorder="1" applyAlignment="1" applyProtection="1">
      <alignment vertical="top" wrapText="1"/>
    </xf>
    <xf numFmtId="9" fontId="52" fillId="0" borderId="4" xfId="18" applyFont="1" applyFill="1" applyBorder="1" applyAlignment="1">
      <alignment horizontal="right"/>
    </xf>
    <xf numFmtId="165" fontId="10" fillId="0" borderId="2" xfId="2" applyFont="1" applyFill="1" applyBorder="1" applyAlignment="1" applyProtection="1">
      <alignment horizontal="right" vertical="top"/>
    </xf>
    <xf numFmtId="43" fontId="10" fillId="0" borderId="2" xfId="2" applyNumberFormat="1" applyFont="1" applyFill="1" applyBorder="1" applyAlignment="1" applyProtection="1">
      <alignment horizontal="right" vertical="center"/>
    </xf>
    <xf numFmtId="170" fontId="10" fillId="0" borderId="25" xfId="0" applyNumberFormat="1" applyFont="1" applyFill="1" applyBorder="1"/>
    <xf numFmtId="170" fontId="10" fillId="0" borderId="0" xfId="0" applyNumberFormat="1" applyFont="1" applyFill="1" applyBorder="1"/>
    <xf numFmtId="9" fontId="52" fillId="0" borderId="31" xfId="18" applyFont="1" applyFill="1" applyBorder="1"/>
    <xf numFmtId="170" fontId="10" fillId="0" borderId="32" xfId="3" applyNumberFormat="1" applyFont="1" applyFill="1" applyBorder="1" applyAlignment="1" applyProtection="1">
      <alignment horizontal="right" vertical="top"/>
    </xf>
    <xf numFmtId="9" fontId="52" fillId="0" borderId="33" xfId="18" applyFont="1" applyFill="1" applyBorder="1" applyAlignment="1">
      <alignment horizontal="right"/>
    </xf>
    <xf numFmtId="170" fontId="17" fillId="6" borderId="2" xfId="1" applyNumberFormat="1" applyFont="1" applyFill="1" applyBorder="1" applyAlignment="1">
      <alignment horizontal="right"/>
    </xf>
    <xf numFmtId="9" fontId="52" fillId="6" borderId="4" xfId="18" applyFont="1" applyFill="1" applyBorder="1" applyAlignment="1">
      <alignment horizontal="right"/>
    </xf>
    <xf numFmtId="165" fontId="16" fillId="0" borderId="53" xfId="2" applyFont="1" applyFill="1" applyBorder="1" applyAlignment="1" applyProtection="1">
      <alignment vertical="top" wrapText="1"/>
    </xf>
    <xf numFmtId="9" fontId="52" fillId="0" borderId="54" xfId="18" applyFont="1" applyFill="1" applyBorder="1" applyAlignment="1">
      <alignment horizontal="right"/>
    </xf>
    <xf numFmtId="170" fontId="10" fillId="0" borderId="2" xfId="3" applyNumberFormat="1" applyFont="1" applyFill="1" applyBorder="1" applyAlignment="1" applyProtection="1">
      <alignment horizontal="right" vertical="top"/>
    </xf>
    <xf numFmtId="170" fontId="17" fillId="6" borderId="5" xfId="1" applyNumberFormat="1" applyFont="1" applyFill="1" applyBorder="1" applyAlignment="1">
      <alignment horizontal="right"/>
    </xf>
    <xf numFmtId="170" fontId="17" fillId="6" borderId="13" xfId="1" applyNumberFormat="1" applyFont="1" applyFill="1" applyBorder="1" applyAlignment="1">
      <alignment horizontal="right"/>
    </xf>
    <xf numFmtId="9" fontId="52" fillId="6" borderId="7" xfId="18" applyFont="1" applyFill="1" applyBorder="1" applyAlignment="1">
      <alignment horizontal="right"/>
    </xf>
    <xf numFmtId="9" fontId="67" fillId="0" borderId="4" xfId="18" applyFont="1" applyFill="1" applyBorder="1" applyAlignment="1">
      <alignment horizontal="center"/>
    </xf>
    <xf numFmtId="0" fontId="62" fillId="0" borderId="0" xfId="0" applyNumberFormat="1" applyFont="1" applyFill="1" applyBorder="1" applyAlignment="1" applyProtection="1">
      <alignment horizontal="left" vertical="top" wrapText="1"/>
      <protection locked="0"/>
    </xf>
    <xf numFmtId="0" fontId="8" fillId="0" borderId="0" xfId="0" applyFont="1" applyFill="1"/>
    <xf numFmtId="167" fontId="10" fillId="0" borderId="0" xfId="0" applyNumberFormat="1" applyFont="1" applyFill="1"/>
    <xf numFmtId="0" fontId="8" fillId="0" borderId="9" xfId="14" applyFont="1" applyFill="1" applyBorder="1"/>
    <xf numFmtId="9" fontId="10" fillId="0" borderId="0" xfId="18" applyFont="1" applyFill="1"/>
    <xf numFmtId="165" fontId="8" fillId="0" borderId="0" xfId="2" applyFont="1" applyFill="1"/>
    <xf numFmtId="165" fontId="19" fillId="0" borderId="0" xfId="2" applyFont="1" applyFill="1"/>
    <xf numFmtId="165" fontId="19" fillId="0" borderId="0" xfId="2" applyFont="1" applyFill="1" applyAlignment="1"/>
    <xf numFmtId="0" fontId="68" fillId="0" borderId="28" xfId="0" applyFont="1" applyFill="1" applyBorder="1"/>
    <xf numFmtId="0" fontId="68" fillId="0" borderId="22" xfId="0" applyFont="1" applyFill="1" applyBorder="1" applyAlignment="1">
      <alignment horizontal="center"/>
    </xf>
    <xf numFmtId="0" fontId="68" fillId="0" borderId="38" xfId="0" applyFont="1" applyBorder="1"/>
    <xf numFmtId="0" fontId="71" fillId="0" borderId="55" xfId="0" applyFont="1" applyBorder="1" applyAlignment="1"/>
    <xf numFmtId="0" fontId="71" fillId="0" borderId="19" xfId="0" applyFont="1" applyBorder="1"/>
    <xf numFmtId="164" fontId="71" fillId="0" borderId="56" xfId="1" applyNumberFormat="1" applyFont="1" applyBorder="1"/>
    <xf numFmtId="0" fontId="72" fillId="0" borderId="0" xfId="0" applyFont="1" applyBorder="1"/>
    <xf numFmtId="168" fontId="49" fillId="0" borderId="22" xfId="0" applyNumberFormat="1" applyFont="1" applyFill="1" applyBorder="1"/>
    <xf numFmtId="165" fontId="8" fillId="0" borderId="0" xfId="2" applyFont="1" applyFill="1" applyBorder="1"/>
    <xf numFmtId="167" fontId="0" fillId="0" borderId="0" xfId="1" applyNumberFormat="1" applyFont="1"/>
    <xf numFmtId="0" fontId="50" fillId="6" borderId="57" xfId="0" applyFont="1" applyFill="1" applyBorder="1"/>
    <xf numFmtId="167" fontId="50" fillId="6" borderId="23" xfId="1" applyNumberFormat="1" applyFont="1" applyFill="1" applyBorder="1"/>
    <xf numFmtId="167" fontId="50" fillId="0" borderId="0" xfId="1" applyNumberFormat="1" applyFont="1"/>
    <xf numFmtId="0" fontId="9" fillId="0" borderId="18" xfId="14" applyFont="1" applyFill="1" applyBorder="1"/>
    <xf numFmtId="167" fontId="9" fillId="0" borderId="19" xfId="14" applyNumberFormat="1" applyFont="1" applyFill="1" applyBorder="1"/>
    <xf numFmtId="167" fontId="9" fillId="0" borderId="20" xfId="14" applyNumberFormat="1" applyFont="1" applyFill="1" applyBorder="1"/>
    <xf numFmtId="0" fontId="8" fillId="0" borderId="11" xfId="14" applyFont="1" applyFill="1" applyBorder="1"/>
    <xf numFmtId="167" fontId="50" fillId="0" borderId="0" xfId="1" applyNumberFormat="1" applyFont="1" applyBorder="1"/>
    <xf numFmtId="167" fontId="50" fillId="6" borderId="0" xfId="1" applyNumberFormat="1" applyFont="1" applyFill="1" applyBorder="1"/>
    <xf numFmtId="0" fontId="50" fillId="0" borderId="58" xfId="0" applyFont="1" applyBorder="1" applyAlignment="1"/>
    <xf numFmtId="167" fontId="50" fillId="0" borderId="11" xfId="1" applyNumberFormat="1" applyFont="1" applyBorder="1" applyAlignment="1"/>
    <xf numFmtId="0" fontId="50" fillId="6" borderId="25" xfId="0" applyFont="1" applyFill="1" applyBorder="1"/>
    <xf numFmtId="0" fontId="50" fillId="0" borderId="51" xfId="0" applyFont="1" applyBorder="1"/>
    <xf numFmtId="167" fontId="50" fillId="0" borderId="50" xfId="1" applyNumberFormat="1" applyFont="1" applyBorder="1"/>
    <xf numFmtId="0" fontId="50" fillId="0" borderId="48" xfId="0" applyFont="1" applyBorder="1"/>
    <xf numFmtId="0" fontId="8" fillId="0" borderId="48" xfId="15" applyFont="1" applyFill="1" applyBorder="1"/>
    <xf numFmtId="0" fontId="50" fillId="0" borderId="52" xfId="0" applyFont="1" applyBorder="1"/>
    <xf numFmtId="167" fontId="50" fillId="0" borderId="41" xfId="1" applyNumberFormat="1" applyFont="1" applyBorder="1"/>
    <xf numFmtId="0" fontId="8" fillId="0" borderId="0" xfId="0" applyFont="1"/>
    <xf numFmtId="0" fontId="65" fillId="0" borderId="0" xfId="0" applyFont="1" applyBorder="1"/>
    <xf numFmtId="0" fontId="68" fillId="0" borderId="22" xfId="0" applyFont="1" applyFill="1" applyBorder="1" applyAlignment="1"/>
    <xf numFmtId="164" fontId="70" fillId="0" borderId="22" xfId="1" applyNumberFormat="1" applyFont="1" applyBorder="1" applyAlignment="1">
      <alignment horizontal="center"/>
    </xf>
    <xf numFmtId="0" fontId="68" fillId="0" borderId="27" xfId="0" applyFont="1" applyFill="1" applyBorder="1" applyAlignment="1"/>
    <xf numFmtId="164" fontId="69" fillId="0" borderId="29" xfId="1" applyNumberFormat="1" applyFont="1" applyBorder="1"/>
    <xf numFmtId="17" fontId="73" fillId="0" borderId="25" xfId="0" applyNumberFormat="1" applyFont="1" applyFill="1" applyBorder="1" applyAlignment="1"/>
    <xf numFmtId="170" fontId="72" fillId="0" borderId="31" xfId="1" applyNumberFormat="1" applyFont="1" applyBorder="1"/>
    <xf numFmtId="0" fontId="68" fillId="0" borderId="37" xfId="0" applyFont="1" applyBorder="1" applyAlignment="1"/>
    <xf numFmtId="170" fontId="50" fillId="0" borderId="0" xfId="0" applyNumberFormat="1" applyFont="1"/>
    <xf numFmtId="164" fontId="17" fillId="0" borderId="0" xfId="10" applyFont="1" applyFill="1" applyAlignment="1">
      <alignment horizontal="center"/>
    </xf>
    <xf numFmtId="0" fontId="9" fillId="0" borderId="0" xfId="14" applyFont="1" applyFill="1" applyAlignment="1">
      <alignment horizontal="center"/>
    </xf>
    <xf numFmtId="17" fontId="8" fillId="0" borderId="0" xfId="0" applyNumberFormat="1" applyFont="1" applyFill="1"/>
    <xf numFmtId="167" fontId="9" fillId="0" borderId="0" xfId="14" applyNumberFormat="1" applyFont="1" applyFill="1" applyBorder="1"/>
    <xf numFmtId="167" fontId="9" fillId="0" borderId="0" xfId="11" applyNumberFormat="1" applyFont="1" applyFill="1" applyBorder="1"/>
    <xf numFmtId="168" fontId="15" fillId="0" borderId="0" xfId="9" applyNumberFormat="1" applyFont="1" applyFill="1" applyBorder="1"/>
    <xf numFmtId="0" fontId="63" fillId="0" borderId="0" xfId="0" applyFont="1" applyFill="1" applyBorder="1" applyAlignment="1">
      <alignment horizontal="center"/>
    </xf>
    <xf numFmtId="170" fontId="50" fillId="0" borderId="0" xfId="1" applyNumberFormat="1" applyFont="1"/>
    <xf numFmtId="166" fontId="49" fillId="0" borderId="11" xfId="0" applyNumberFormat="1" applyFont="1" applyFill="1" applyBorder="1"/>
    <xf numFmtId="164" fontId="63" fillId="0" borderId="22" xfId="1" applyNumberFormat="1" applyFont="1" applyFill="1" applyBorder="1" applyAlignment="1">
      <alignment horizontal="right"/>
    </xf>
    <xf numFmtId="0" fontId="65" fillId="0" borderId="25" xfId="0" applyFont="1" applyFill="1" applyBorder="1" applyAlignment="1"/>
    <xf numFmtId="1" fontId="50" fillId="0" borderId="9" xfId="1" applyNumberFormat="1" applyFont="1" applyBorder="1" applyAlignment="1">
      <alignment horizontal="left"/>
    </xf>
    <xf numFmtId="166" fontId="49" fillId="0" borderId="9" xfId="0" applyNumberFormat="1" applyFont="1" applyFill="1" applyBorder="1" applyAlignment="1">
      <alignment horizontal="center"/>
    </xf>
    <xf numFmtId="167" fontId="8" fillId="9" borderId="0" xfId="11" applyNumberFormat="1" applyFont="1" applyFill="1"/>
    <xf numFmtId="1" fontId="50" fillId="0" borderId="9" xfId="1" applyNumberFormat="1" applyFont="1" applyBorder="1" applyAlignment="1">
      <alignment horizontal="left"/>
    </xf>
    <xf numFmtId="0" fontId="0" fillId="3" borderId="0" xfId="0" applyFill="1"/>
    <xf numFmtId="164" fontId="17" fillId="0" borderId="0" xfId="10" applyFont="1" applyFill="1" applyAlignment="1">
      <alignment horizontal="center"/>
    </xf>
    <xf numFmtId="0" fontId="9" fillId="0" borderId="0" xfId="14" applyFont="1" applyFill="1" applyAlignment="1">
      <alignment horizontal="center"/>
    </xf>
    <xf numFmtId="164" fontId="17" fillId="0" borderId="0" xfId="10" applyFont="1" applyFill="1" applyAlignment="1">
      <alignment horizontal="center"/>
    </xf>
    <xf numFmtId="0" fontId="9" fillId="0" borderId="0" xfId="14" applyFont="1" applyFill="1" applyAlignment="1">
      <alignment horizontal="center"/>
    </xf>
    <xf numFmtId="167" fontId="8" fillId="0" borderId="27" xfId="11" applyNumberFormat="1" applyFont="1" applyFill="1" applyBorder="1"/>
    <xf numFmtId="0" fontId="10" fillId="0" borderId="28" xfId="14" applyFont="1" applyFill="1" applyBorder="1"/>
    <xf numFmtId="167" fontId="10" fillId="0" borderId="29" xfId="11" applyNumberFormat="1" applyFont="1" applyFill="1" applyBorder="1"/>
    <xf numFmtId="167" fontId="8" fillId="0" borderId="37" xfId="11" applyNumberFormat="1" applyFont="1" applyFill="1" applyBorder="1"/>
    <xf numFmtId="167" fontId="10" fillId="0" borderId="38" xfId="11" applyNumberFormat="1" applyFont="1" applyFill="1" applyBorder="1"/>
    <xf numFmtId="167" fontId="10" fillId="0" borderId="39" xfId="11" applyNumberFormat="1" applyFont="1" applyFill="1" applyBorder="1"/>
    <xf numFmtId="167" fontId="8" fillId="10" borderId="0" xfId="11" applyNumberFormat="1" applyFont="1" applyFill="1"/>
    <xf numFmtId="167" fontId="10" fillId="10" borderId="0" xfId="11" applyNumberFormat="1" applyFont="1" applyFill="1"/>
    <xf numFmtId="167" fontId="8" fillId="8" borderId="0" xfId="11" applyNumberFormat="1" applyFont="1" applyFill="1"/>
    <xf numFmtId="167" fontId="10" fillId="8" borderId="0" xfId="0" applyNumberFormat="1" applyFont="1" applyFill="1"/>
    <xf numFmtId="165" fontId="10" fillId="8" borderId="0" xfId="2" applyFont="1" applyFill="1"/>
    <xf numFmtId="167" fontId="8" fillId="0" borderId="0" xfId="11" applyNumberFormat="1" applyFont="1" applyFill="1" applyBorder="1"/>
    <xf numFmtId="17" fontId="15" fillId="0" borderId="9" xfId="15" applyNumberFormat="1" applyFont="1" applyFill="1" applyBorder="1" applyAlignment="1">
      <alignment horizontal="center"/>
    </xf>
    <xf numFmtId="0" fontId="8" fillId="0" borderId="0" xfId="33" applyFont="1" applyAlignment="1">
      <alignment horizontal="centerContinuous"/>
    </xf>
    <xf numFmtId="0" fontId="8" fillId="0" borderId="0" xfId="33" applyFont="1"/>
    <xf numFmtId="0" fontId="8" fillId="0" borderId="0" xfId="33" applyFont="1" applyAlignment="1">
      <alignment horizontal="center"/>
    </xf>
    <xf numFmtId="3" fontId="8" fillId="0" borderId="0" xfId="33" applyNumberFormat="1" applyFont="1" applyAlignment="1">
      <alignment horizontal="center"/>
    </xf>
    <xf numFmtId="0" fontId="8" fillId="0" borderId="0" xfId="16" applyFont="1" applyAlignment="1">
      <alignment horizontal="center"/>
    </xf>
    <xf numFmtId="17" fontId="8" fillId="0" borderId="0" xfId="33" applyNumberFormat="1" applyFont="1" applyAlignment="1">
      <alignment horizontal="center"/>
    </xf>
    <xf numFmtId="0" fontId="76" fillId="2" borderId="0" xfId="16" applyFont="1" applyFill="1" applyAlignment="1">
      <alignment horizontal="center"/>
    </xf>
    <xf numFmtId="0" fontId="8" fillId="2" borderId="0" xfId="16" applyFont="1" applyFill="1" applyAlignment="1">
      <alignment horizontal="center"/>
    </xf>
    <xf numFmtId="17" fontId="8" fillId="2" borderId="0" xfId="33" applyNumberFormat="1" applyFont="1" applyFill="1" applyAlignment="1">
      <alignment horizontal="center"/>
    </xf>
    <xf numFmtId="0" fontId="8" fillId="2" borderId="0" xfId="33" applyFont="1" applyFill="1"/>
    <xf numFmtId="0" fontId="8" fillId="2" borderId="11" xfId="16" applyFont="1" applyFill="1" applyBorder="1"/>
    <xf numFmtId="0" fontId="8" fillId="2" borderId="11" xfId="16" applyFont="1" applyFill="1" applyBorder="1" applyAlignment="1">
      <alignment horizontal="center"/>
    </xf>
    <xf numFmtId="167" fontId="8" fillId="2" borderId="11" xfId="33" applyNumberFormat="1" applyFont="1" applyFill="1" applyBorder="1"/>
    <xf numFmtId="9" fontId="8" fillId="2" borderId="11" xfId="18" applyFont="1" applyFill="1" applyBorder="1" applyAlignment="1">
      <alignment horizontal="center"/>
    </xf>
    <xf numFmtId="0" fontId="8" fillId="2" borderId="0" xfId="16" applyFont="1" applyFill="1"/>
    <xf numFmtId="168" fontId="8" fillId="2" borderId="0" xfId="31" applyNumberFormat="1" applyFont="1" applyFill="1"/>
    <xf numFmtId="167" fontId="8" fillId="2" borderId="0" xfId="12" applyNumberFormat="1" applyFont="1" applyFill="1" applyBorder="1"/>
    <xf numFmtId="9" fontId="0" fillId="0" borderId="0" xfId="18" applyFont="1" applyAlignment="1">
      <alignment horizontal="center"/>
    </xf>
    <xf numFmtId="167" fontId="77" fillId="2" borderId="0" xfId="35" applyNumberFormat="1" applyFont="1" applyFill="1" applyBorder="1"/>
    <xf numFmtId="168" fontId="8" fillId="2" borderId="0" xfId="35" applyNumberFormat="1" applyFont="1" applyFill="1"/>
    <xf numFmtId="9" fontId="8" fillId="2" borderId="0" xfId="18" applyFont="1" applyFill="1" applyAlignment="1">
      <alignment horizontal="center"/>
    </xf>
    <xf numFmtId="167" fontId="8" fillId="2" borderId="11" xfId="36" applyNumberFormat="1" applyFont="1" applyFill="1" applyBorder="1"/>
    <xf numFmtId="170" fontId="8" fillId="2" borderId="0" xfId="33" applyNumberFormat="1" applyFont="1" applyFill="1"/>
    <xf numFmtId="167" fontId="78" fillId="2" borderId="0" xfId="12" applyNumberFormat="1" applyFont="1" applyFill="1" applyBorder="1"/>
    <xf numFmtId="0" fontId="8" fillId="2" borderId="0" xfId="17" applyFont="1" applyFill="1"/>
    <xf numFmtId="167" fontId="8" fillId="2" borderId="0" xfId="33" applyNumberFormat="1" applyFont="1" applyFill="1" applyBorder="1"/>
    <xf numFmtId="167" fontId="8" fillId="2" borderId="11" xfId="12" applyNumberFormat="1" applyFont="1" applyFill="1" applyBorder="1"/>
    <xf numFmtId="0" fontId="8" fillId="2" borderId="0" xfId="16" applyFont="1" applyFill="1" applyBorder="1"/>
    <xf numFmtId="9" fontId="8" fillId="2" borderId="0" xfId="18" applyFont="1" applyFill="1" applyBorder="1" applyAlignment="1">
      <alignment horizontal="center"/>
    </xf>
    <xf numFmtId="0" fontId="8" fillId="0" borderId="0" xfId="16" applyFont="1" applyBorder="1"/>
    <xf numFmtId="167" fontId="8" fillId="2" borderId="0" xfId="18" applyNumberFormat="1" applyFont="1" applyFill="1" applyAlignment="1">
      <alignment horizontal="center"/>
    </xf>
    <xf numFmtId="0" fontId="8" fillId="2" borderId="11" xfId="16" applyFont="1" applyFill="1" applyBorder="1" applyAlignment="1">
      <alignment horizontal="left"/>
    </xf>
    <xf numFmtId="167" fontId="8" fillId="2" borderId="0" xfId="33" applyNumberFormat="1" applyFont="1" applyFill="1"/>
    <xf numFmtId="0" fontId="8" fillId="2" borderId="0" xfId="16" applyFont="1" applyFill="1" applyBorder="1" applyAlignment="1">
      <alignment horizontal="left"/>
    </xf>
    <xf numFmtId="0" fontId="8" fillId="0" borderId="48" xfId="33" applyBorder="1"/>
    <xf numFmtId="0" fontId="8" fillId="2" borderId="48" xfId="16" applyFont="1" applyFill="1" applyBorder="1"/>
    <xf numFmtId="0" fontId="8" fillId="2" borderId="0" xfId="33" applyFont="1" applyFill="1" applyBorder="1"/>
    <xf numFmtId="167" fontId="8" fillId="2" borderId="11" xfId="16" applyNumberFormat="1" applyFont="1" applyFill="1" applyBorder="1"/>
    <xf numFmtId="167" fontId="8" fillId="2" borderId="0" xfId="16" applyNumberFormat="1" applyFont="1" applyFill="1" applyBorder="1"/>
    <xf numFmtId="167" fontId="8" fillId="2" borderId="0" xfId="12" applyNumberFormat="1" applyFont="1" applyFill="1"/>
    <xf numFmtId="167" fontId="8" fillId="2" borderId="0" xfId="16" applyNumberFormat="1" applyFont="1" applyFill="1" applyAlignment="1">
      <alignment horizontal="center"/>
    </xf>
    <xf numFmtId="166" fontId="8" fillId="2" borderId="0" xfId="33" applyNumberFormat="1" applyFont="1" applyFill="1"/>
    <xf numFmtId="167" fontId="8" fillId="0" borderId="0" xfId="12" applyNumberFormat="1" applyFont="1"/>
    <xf numFmtId="167" fontId="8" fillId="0" borderId="0" xfId="33" applyNumberFormat="1" applyFont="1"/>
    <xf numFmtId="168" fontId="8" fillId="2" borderId="0" xfId="33" applyNumberFormat="1" applyFont="1" applyFill="1"/>
    <xf numFmtId="9" fontId="8" fillId="0" borderId="0" xfId="18" applyFont="1" applyFill="1"/>
    <xf numFmtId="0" fontId="23" fillId="0" borderId="0" xfId="0" applyNumberFormat="1" applyFont="1" applyFill="1" applyBorder="1" applyAlignment="1" applyProtection="1">
      <alignment horizontal="left" vertical="top" wrapText="1"/>
    </xf>
    <xf numFmtId="0" fontId="77" fillId="0" borderId="0" xfId="14" applyFont="1" applyFill="1"/>
    <xf numFmtId="0" fontId="79" fillId="0" borderId="0" xfId="0" applyNumberFormat="1" applyFont="1" applyFill="1" applyBorder="1" applyAlignment="1" applyProtection="1">
      <alignment horizontal="right" vertical="top" wrapText="1"/>
    </xf>
    <xf numFmtId="170" fontId="79" fillId="0" borderId="0" xfId="34" applyNumberFormat="1" applyFont="1" applyFill="1" applyBorder="1" applyAlignment="1" applyProtection="1">
      <alignment horizontal="right" vertical="top" wrapText="1"/>
    </xf>
    <xf numFmtId="167" fontId="19" fillId="0" borderId="0" xfId="11" applyNumberFormat="1" applyFont="1" applyFill="1"/>
    <xf numFmtId="0" fontId="3" fillId="0" borderId="0" xfId="37"/>
    <xf numFmtId="170" fontId="0" fillId="0" borderId="0" xfId="34" applyNumberFormat="1" applyFont="1"/>
    <xf numFmtId="0" fontId="21" fillId="0" borderId="0" xfId="37" applyNumberFormat="1" applyFont="1" applyFill="1" applyBorder="1" applyAlignment="1" applyProtection="1">
      <alignment wrapText="1"/>
      <protection locked="0"/>
    </xf>
    <xf numFmtId="170" fontId="21" fillId="0" borderId="0" xfId="34" applyNumberFormat="1" applyFont="1" applyFill="1" applyBorder="1" applyAlignment="1" applyProtection="1">
      <alignment wrapText="1"/>
      <protection locked="0"/>
    </xf>
    <xf numFmtId="170" fontId="80" fillId="0" borderId="0" xfId="34" applyNumberFormat="1" applyFont="1" applyFill="1" applyBorder="1" applyAlignment="1" applyProtection="1">
      <alignment horizontal="left" vertical="top" wrapText="1"/>
      <protection locked="0"/>
    </xf>
    <xf numFmtId="0" fontId="80" fillId="0" borderId="0" xfId="37" applyNumberFormat="1" applyFont="1" applyFill="1" applyBorder="1" applyAlignment="1" applyProtection="1">
      <alignment horizontal="left" vertical="top" wrapText="1"/>
      <protection locked="0"/>
    </xf>
    <xf numFmtId="0" fontId="80" fillId="0" borderId="0" xfId="37" applyNumberFormat="1" applyFont="1" applyFill="1" applyBorder="1" applyAlignment="1" applyProtection="1">
      <alignment horizontal="right" vertical="top" wrapText="1"/>
      <protection locked="0"/>
    </xf>
    <xf numFmtId="170" fontId="80" fillId="0" borderId="0" xfId="34" applyNumberFormat="1" applyFont="1" applyFill="1" applyBorder="1" applyAlignment="1" applyProtection="1">
      <alignment horizontal="right" vertical="top" wrapText="1"/>
      <protection locked="0"/>
    </xf>
    <xf numFmtId="170" fontId="64" fillId="0" borderId="0" xfId="34" applyNumberFormat="1" applyFont="1" applyFill="1" applyBorder="1" applyAlignment="1" applyProtection="1">
      <alignment horizontal="left" vertical="top" wrapText="1"/>
      <protection locked="0"/>
    </xf>
    <xf numFmtId="0" fontId="64" fillId="0" borderId="0" xfId="37" applyNumberFormat="1" applyFont="1" applyFill="1" applyBorder="1" applyAlignment="1" applyProtection="1">
      <alignment horizontal="left" vertical="top" wrapText="1"/>
      <protection locked="0"/>
    </xf>
    <xf numFmtId="0" fontId="64" fillId="0" borderId="0" xfId="37" applyNumberFormat="1" applyFont="1" applyFill="1" applyBorder="1" applyAlignment="1" applyProtection="1">
      <alignment horizontal="right" vertical="top" wrapText="1"/>
      <protection locked="0"/>
    </xf>
    <xf numFmtId="170" fontId="64" fillId="0" borderId="0" xfId="34" applyNumberFormat="1" applyFont="1" applyFill="1" applyBorder="1" applyAlignment="1" applyProtection="1">
      <alignment horizontal="right" vertical="top" wrapText="1"/>
      <protection locked="0"/>
    </xf>
    <xf numFmtId="0" fontId="62" fillId="0" borderId="0" xfId="37" applyNumberFormat="1" applyFont="1" applyFill="1" applyBorder="1" applyAlignment="1" applyProtection="1">
      <alignment horizontal="left" vertical="top" wrapText="1"/>
      <protection locked="0"/>
    </xf>
    <xf numFmtId="171" fontId="64" fillId="0" borderId="0" xfId="37" applyNumberFormat="1" applyFont="1" applyFill="1" applyBorder="1" applyAlignment="1" applyProtection="1">
      <alignment horizontal="right" vertical="top" wrapText="1"/>
    </xf>
    <xf numFmtId="170" fontId="64" fillId="0" borderId="0" xfId="34" applyNumberFormat="1" applyFont="1" applyFill="1" applyBorder="1" applyAlignment="1" applyProtection="1">
      <alignment horizontal="right" vertical="top" wrapText="1"/>
    </xf>
    <xf numFmtId="0" fontId="62" fillId="0" borderId="0" xfId="37" applyNumberFormat="1" applyFont="1" applyFill="1" applyBorder="1" applyAlignment="1" applyProtection="1">
      <alignment horizontal="right" vertical="top" wrapText="1"/>
      <protection locked="0"/>
    </xf>
    <xf numFmtId="0" fontId="65" fillId="0" borderId="0" xfId="37" applyNumberFormat="1" applyFont="1" applyFill="1" applyBorder="1" applyAlignment="1" applyProtection="1">
      <alignment horizontal="left" vertical="top" wrapText="1"/>
    </xf>
    <xf numFmtId="0" fontId="64" fillId="0" borderId="0" xfId="37" applyNumberFormat="1" applyFont="1" applyFill="1" applyBorder="1" applyAlignment="1" applyProtection="1">
      <alignment horizontal="left" vertical="top" wrapText="1"/>
    </xf>
    <xf numFmtId="0" fontId="74" fillId="0" borderId="0" xfId="37" applyNumberFormat="1" applyFont="1" applyFill="1" applyBorder="1" applyAlignment="1" applyProtection="1">
      <alignment horizontal="left" vertical="top" wrapText="1"/>
    </xf>
    <xf numFmtId="170" fontId="64" fillId="0" borderId="11" xfId="34" applyNumberFormat="1" applyFont="1" applyFill="1" applyBorder="1" applyAlignment="1" applyProtection="1">
      <alignment horizontal="right" vertical="top" wrapText="1"/>
    </xf>
    <xf numFmtId="0" fontId="62" fillId="0" borderId="42" xfId="37" applyNumberFormat="1" applyFont="1" applyFill="1" applyBorder="1" applyAlignment="1" applyProtection="1">
      <alignment horizontal="left" vertical="top" wrapText="1"/>
      <protection locked="0"/>
    </xf>
    <xf numFmtId="0" fontId="62" fillId="0" borderId="42" xfId="37" applyNumberFormat="1" applyFont="1" applyFill="1" applyBorder="1" applyAlignment="1" applyProtection="1">
      <alignment horizontal="left" vertical="top" wrapText="1"/>
    </xf>
    <xf numFmtId="170" fontId="62" fillId="0" borderId="42" xfId="34" applyNumberFormat="1" applyFont="1" applyFill="1" applyBorder="1" applyAlignment="1" applyProtection="1">
      <alignment horizontal="center" vertical="top" wrapText="1"/>
    </xf>
    <xf numFmtId="0" fontId="21" fillId="0" borderId="42" xfId="37" applyNumberFormat="1" applyFont="1" applyFill="1" applyBorder="1" applyAlignment="1" applyProtection="1">
      <alignment wrapText="1"/>
      <protection locked="0"/>
    </xf>
    <xf numFmtId="170" fontId="62" fillId="0" borderId="0" xfId="34" applyNumberFormat="1" applyFont="1" applyFill="1" applyBorder="1" applyAlignment="1" applyProtection="1">
      <alignment horizontal="left" vertical="top" wrapText="1"/>
      <protection locked="0"/>
    </xf>
    <xf numFmtId="170" fontId="62" fillId="0" borderId="0" xfId="34" applyNumberFormat="1" applyFont="1" applyFill="1" applyBorder="1" applyAlignment="1" applyProtection="1">
      <alignment horizontal="center" vertical="top" wrapText="1"/>
      <protection locked="0"/>
    </xf>
    <xf numFmtId="0" fontId="62" fillId="0" borderId="0" xfId="37" applyNumberFormat="1" applyFont="1" applyFill="1" applyBorder="1" applyAlignment="1" applyProtection="1">
      <alignment horizontal="center" vertical="top" wrapText="1"/>
      <protection locked="0"/>
    </xf>
    <xf numFmtId="14" fontId="62" fillId="0" borderId="0" xfId="37" applyNumberFormat="1" applyFont="1" applyFill="1" applyBorder="1" applyAlignment="1" applyProtection="1">
      <alignment horizontal="center" vertical="top" wrapText="1"/>
    </xf>
    <xf numFmtId="0" fontId="62" fillId="0" borderId="0" xfId="37" applyNumberFormat="1" applyFont="1" applyFill="1" applyBorder="1" applyAlignment="1" applyProtection="1">
      <alignment horizontal="center" vertical="top" wrapText="1"/>
    </xf>
    <xf numFmtId="0" fontId="65" fillId="0" borderId="0" xfId="37" applyNumberFormat="1" applyFont="1" applyFill="1" applyBorder="1" applyAlignment="1" applyProtection="1">
      <alignment horizontal="right" vertical="top" wrapText="1"/>
    </xf>
    <xf numFmtId="1" fontId="50" fillId="0" borderId="9" xfId="1" applyNumberFormat="1" applyFont="1" applyBorder="1" applyAlignment="1">
      <alignment horizontal="left"/>
    </xf>
    <xf numFmtId="0" fontId="50" fillId="0" borderId="9" xfId="0" applyNumberFormat="1" applyFont="1" applyFill="1" applyBorder="1" applyAlignment="1" applyProtection="1">
      <alignment vertical="top" wrapText="1"/>
    </xf>
    <xf numFmtId="17" fontId="65" fillId="0" borderId="25" xfId="0" applyNumberFormat="1" applyFont="1" applyFill="1" applyBorder="1" applyAlignment="1"/>
    <xf numFmtId="15" fontId="49" fillId="0" borderId="1" xfId="0" applyNumberFormat="1" applyFont="1" applyFill="1" applyBorder="1" applyAlignment="1">
      <alignment horizontal="left"/>
    </xf>
    <xf numFmtId="0" fontId="49" fillId="0" borderId="12" xfId="0" applyFont="1" applyFill="1" applyBorder="1" applyAlignment="1">
      <alignment horizontal="center" wrapText="1"/>
    </xf>
    <xf numFmtId="166" fontId="49" fillId="0" borderId="6" xfId="0" applyNumberFormat="1" applyFont="1" applyFill="1" applyBorder="1" applyAlignment="1">
      <alignment horizontal="center"/>
    </xf>
    <xf numFmtId="174" fontId="50" fillId="0" borderId="2" xfId="0" applyNumberFormat="1" applyFont="1" applyBorder="1" applyAlignment="1">
      <alignment horizontal="left"/>
    </xf>
    <xf numFmtId="168" fontId="50" fillId="0" borderId="4" xfId="9" applyNumberFormat="1" applyFont="1" applyFill="1" applyBorder="1"/>
    <xf numFmtId="170" fontId="51" fillId="0" borderId="4" xfId="3" applyNumberFormat="1" applyFont="1" applyFill="1" applyBorder="1" applyAlignment="1" applyProtection="1">
      <alignment vertical="top"/>
      <protection locked="0"/>
    </xf>
    <xf numFmtId="170" fontId="51" fillId="0" borderId="4" xfId="3" applyNumberFormat="1" applyFont="1" applyFill="1" applyBorder="1" applyAlignment="1" applyProtection="1">
      <alignment horizontal="center" vertical="center"/>
      <protection locked="0"/>
    </xf>
    <xf numFmtId="169" fontId="50" fillId="0" borderId="5" xfId="0" applyNumberFormat="1" applyFont="1" applyBorder="1" applyAlignment="1">
      <alignment horizontal="left"/>
    </xf>
    <xf numFmtId="0" fontId="50" fillId="0" borderId="13" xfId="0" applyFont="1" applyBorder="1"/>
    <xf numFmtId="170" fontId="62" fillId="0" borderId="0" xfId="37" applyNumberFormat="1" applyFont="1" applyFill="1" applyBorder="1" applyAlignment="1" applyProtection="1">
      <alignment horizontal="right" vertical="top" wrapText="1"/>
      <protection locked="0"/>
    </xf>
    <xf numFmtId="170" fontId="22" fillId="0" borderId="0" xfId="1" applyNumberFormat="1" applyFont="1" applyFill="1" applyBorder="1" applyAlignment="1" applyProtection="1">
      <alignment horizontal="right" vertical="top" wrapText="1"/>
    </xf>
    <xf numFmtId="170" fontId="0" fillId="0" borderId="0" xfId="1" applyNumberFormat="1" applyFont="1"/>
    <xf numFmtId="170" fontId="17" fillId="0" borderId="9" xfId="4" applyNumberFormat="1" applyFont="1" applyFill="1" applyBorder="1" applyAlignment="1">
      <alignment horizontal="center"/>
    </xf>
    <xf numFmtId="9" fontId="17" fillId="0" borderId="9" xfId="18" applyFont="1" applyFill="1" applyBorder="1" applyAlignment="1">
      <alignment horizontal="center"/>
    </xf>
    <xf numFmtId="170" fontId="9" fillId="0" borderId="9" xfId="4" applyNumberFormat="1" applyFont="1" applyFill="1" applyBorder="1" applyAlignment="1">
      <alignment horizontal="center"/>
    </xf>
    <xf numFmtId="17" fontId="17" fillId="0" borderId="9" xfId="15" applyNumberFormat="1" applyFont="1" applyFill="1" applyBorder="1" applyAlignment="1">
      <alignment horizontal="center"/>
    </xf>
    <xf numFmtId="0" fontId="17" fillId="0" borderId="9" xfId="0" applyFont="1" applyFill="1" applyBorder="1" applyAlignment="1">
      <alignment horizontal="center"/>
    </xf>
    <xf numFmtId="168" fontId="8" fillId="2" borderId="11" xfId="33" applyNumberFormat="1" applyFont="1" applyFill="1" applyBorder="1"/>
    <xf numFmtId="168" fontId="22" fillId="0" borderId="0" xfId="0" applyNumberFormat="1" applyFont="1" applyFill="1" applyBorder="1" applyAlignment="1" applyProtection="1">
      <alignment horizontal="left" vertical="top" wrapText="1"/>
    </xf>
    <xf numFmtId="0" fontId="62" fillId="0" borderId="0" xfId="0" applyNumberFormat="1" applyFont="1" applyFill="1" applyBorder="1" applyAlignment="1" applyProtection="1">
      <alignment horizontal="center" vertical="top" wrapText="1"/>
      <protection locked="0"/>
    </xf>
    <xf numFmtId="170" fontId="62" fillId="0" borderId="0" xfId="1" applyNumberFormat="1" applyFont="1" applyFill="1" applyBorder="1" applyAlignment="1" applyProtection="1">
      <alignment horizontal="center" vertical="top" wrapText="1"/>
      <protection locked="0"/>
    </xf>
    <xf numFmtId="170" fontId="64" fillId="0" borderId="0" xfId="1" applyNumberFormat="1" applyFont="1" applyFill="1" applyBorder="1" applyAlignment="1" applyProtection="1">
      <alignment horizontal="center" vertical="top" wrapText="1"/>
      <protection locked="0"/>
    </xf>
    <xf numFmtId="14" fontId="62" fillId="0" borderId="0" xfId="0" applyNumberFormat="1" applyFont="1" applyFill="1" applyBorder="1" applyAlignment="1" applyProtection="1">
      <alignment horizontal="center" vertical="top" wrapText="1"/>
    </xf>
    <xf numFmtId="0" fontId="62" fillId="0" borderId="0" xfId="0" applyNumberFormat="1" applyFont="1" applyFill="1" applyBorder="1" applyAlignment="1" applyProtection="1">
      <alignment horizontal="center" vertical="top" wrapText="1"/>
    </xf>
    <xf numFmtId="0" fontId="21" fillId="0" borderId="0" xfId="0" applyNumberFormat="1" applyFont="1" applyFill="1" applyBorder="1" applyAlignment="1" applyProtection="1">
      <alignment wrapText="1"/>
      <protection locked="0"/>
    </xf>
    <xf numFmtId="170" fontId="21" fillId="0" borderId="0" xfId="1" applyNumberFormat="1" applyFont="1" applyFill="1" applyBorder="1" applyAlignment="1" applyProtection="1">
      <alignment wrapText="1"/>
      <protection locked="0"/>
    </xf>
    <xf numFmtId="0" fontId="62" fillId="0" borderId="11" xfId="0" applyNumberFormat="1" applyFont="1" applyFill="1" applyBorder="1" applyAlignment="1" applyProtection="1">
      <alignment horizontal="left" vertical="top" wrapText="1"/>
    </xf>
    <xf numFmtId="170" fontId="62" fillId="0" borderId="11" xfId="1" applyNumberFormat="1" applyFont="1" applyFill="1" applyBorder="1" applyAlignment="1" applyProtection="1">
      <alignment horizontal="center" vertical="top" wrapText="1"/>
    </xf>
    <xf numFmtId="170" fontId="62" fillId="0" borderId="11" xfId="1" applyNumberFormat="1" applyFont="1" applyFill="1" applyBorder="1" applyAlignment="1" applyProtection="1">
      <alignment horizontal="left" vertical="top" wrapText="1"/>
    </xf>
    <xf numFmtId="0" fontId="74" fillId="0" borderId="0" xfId="0" applyNumberFormat="1" applyFont="1" applyFill="1" applyBorder="1" applyAlignment="1" applyProtection="1">
      <alignment horizontal="left" vertical="top" wrapText="1"/>
    </xf>
    <xf numFmtId="0" fontId="64" fillId="0" borderId="0" xfId="0" applyNumberFormat="1" applyFont="1" applyFill="1" applyBorder="1" applyAlignment="1" applyProtection="1">
      <alignment horizontal="left" vertical="top" wrapText="1"/>
    </xf>
    <xf numFmtId="0" fontId="65" fillId="0" borderId="0" xfId="0" applyNumberFormat="1" applyFont="1" applyFill="1" applyBorder="1" applyAlignment="1" applyProtection="1">
      <alignment horizontal="left" vertical="top" wrapText="1"/>
    </xf>
    <xf numFmtId="0" fontId="64" fillId="0" borderId="0" xfId="0" applyNumberFormat="1" applyFont="1" applyFill="1" applyBorder="1" applyAlignment="1" applyProtection="1">
      <alignment horizontal="left" vertical="top" wrapText="1"/>
      <protection locked="0"/>
    </xf>
    <xf numFmtId="0" fontId="64" fillId="0" borderId="0" xfId="0" applyNumberFormat="1" applyFont="1" applyFill="1" applyBorder="1" applyAlignment="1" applyProtection="1">
      <alignment horizontal="right" vertical="top" wrapText="1"/>
      <protection locked="0"/>
    </xf>
    <xf numFmtId="170" fontId="64" fillId="0" borderId="11" xfId="1" applyNumberFormat="1" applyFont="1" applyFill="1" applyBorder="1" applyAlignment="1" applyProtection="1">
      <alignment horizontal="left" vertical="top" wrapText="1"/>
      <protection locked="0"/>
    </xf>
    <xf numFmtId="0" fontId="80" fillId="0" borderId="0" xfId="0" applyNumberFormat="1" applyFont="1" applyFill="1" applyBorder="1" applyAlignment="1" applyProtection="1">
      <alignment horizontal="left" vertical="top" wrapText="1"/>
      <protection locked="0"/>
    </xf>
    <xf numFmtId="170" fontId="80" fillId="0" borderId="0" xfId="1" applyNumberFormat="1" applyFont="1" applyFill="1" applyBorder="1" applyAlignment="1" applyProtection="1">
      <alignment horizontal="left" vertical="top" wrapText="1"/>
      <protection locked="0"/>
    </xf>
    <xf numFmtId="170" fontId="64" fillId="0" borderId="0" xfId="1" applyNumberFormat="1" applyFont="1" applyFill="1" applyBorder="1" applyAlignment="1" applyProtection="1">
      <alignment horizontal="right" vertical="top" wrapText="1"/>
      <protection locked="0"/>
    </xf>
    <xf numFmtId="0" fontId="82" fillId="0" borderId="0" xfId="0" applyFont="1" applyFill="1" applyBorder="1"/>
    <xf numFmtId="17" fontId="15" fillId="0" borderId="2" xfId="0" applyNumberFormat="1" applyFont="1" applyFill="1" applyBorder="1" applyAlignment="1">
      <alignment horizontal="center"/>
    </xf>
    <xf numFmtId="170" fontId="15" fillId="0" borderId="17" xfId="3" applyNumberFormat="1" applyFont="1" applyFill="1" applyBorder="1"/>
    <xf numFmtId="0" fontId="0" fillId="0" borderId="0" xfId="0" applyBorder="1"/>
    <xf numFmtId="170" fontId="81" fillId="0" borderId="0" xfId="4" applyNumberFormat="1" applyFont="1" applyFill="1" applyBorder="1" applyAlignment="1">
      <alignment horizontal="center"/>
    </xf>
    <xf numFmtId="0" fontId="81" fillId="0" borderId="0" xfId="15" applyFont="1" applyFill="1" applyBorder="1" applyAlignment="1">
      <alignment horizontal="center"/>
    </xf>
    <xf numFmtId="170" fontId="15" fillId="0" borderId="0" xfId="3" applyNumberFormat="1" applyFont="1" applyFill="1" applyBorder="1"/>
    <xf numFmtId="170" fontId="82" fillId="0" borderId="0" xfId="3" applyNumberFormat="1" applyFont="1" applyFill="1" applyBorder="1"/>
    <xf numFmtId="170" fontId="81" fillId="4" borderId="0" xfId="31" applyNumberFormat="1" applyFont="1" applyFill="1" applyBorder="1" applyAlignment="1">
      <alignment horizontal="right"/>
    </xf>
    <xf numFmtId="170" fontId="81" fillId="6" borderId="0" xfId="31" applyNumberFormat="1" applyFont="1" applyFill="1" applyBorder="1" applyAlignment="1">
      <alignment horizontal="right"/>
    </xf>
    <xf numFmtId="9" fontId="54" fillId="0" borderId="0" xfId="18" applyFont="1" applyFill="1" applyBorder="1" applyAlignment="1">
      <alignment horizontal="center"/>
    </xf>
    <xf numFmtId="170" fontId="15" fillId="8" borderId="0" xfId="4" applyNumberFormat="1" applyFont="1" applyFill="1"/>
    <xf numFmtId="0" fontId="81" fillId="0" borderId="2" xfId="15" applyFont="1" applyFill="1" applyBorder="1" applyAlignment="1">
      <alignment horizontal="center"/>
    </xf>
    <xf numFmtId="0" fontId="62" fillId="0" borderId="0" xfId="0" applyNumberFormat="1" applyFont="1" applyFill="1" applyBorder="1" applyAlignment="1" applyProtection="1">
      <alignment horizontal="center" vertical="top" wrapText="1"/>
    </xf>
    <xf numFmtId="0" fontId="50" fillId="0" borderId="0" xfId="14" applyFont="1" applyFill="1"/>
    <xf numFmtId="0" fontId="0" fillId="0" borderId="0" xfId="0" applyFont="1"/>
    <xf numFmtId="0" fontId="64" fillId="0" borderId="0" xfId="0" applyNumberFormat="1" applyFont="1" applyFill="1" applyBorder="1" applyAlignment="1" applyProtection="1">
      <alignment horizontal="center" vertical="top" wrapText="1"/>
      <protection locked="0"/>
    </xf>
    <xf numFmtId="0" fontId="64" fillId="0" borderId="0" xfId="0" applyNumberFormat="1" applyFont="1" applyFill="1" applyBorder="1" applyAlignment="1" applyProtection="1">
      <alignment horizontal="center" vertical="top" wrapText="1"/>
    </xf>
    <xf numFmtId="170" fontId="64" fillId="0" borderId="11" xfId="1" applyNumberFormat="1" applyFont="1" applyFill="1" applyBorder="1" applyAlignment="1" applyProtection="1">
      <alignment horizontal="right" vertical="top" wrapText="1"/>
    </xf>
    <xf numFmtId="0" fontId="21" fillId="0" borderId="11" xfId="0" applyNumberFormat="1" applyFont="1" applyFill="1" applyBorder="1" applyAlignment="1" applyProtection="1">
      <alignment wrapText="1"/>
      <protection locked="0"/>
    </xf>
    <xf numFmtId="0" fontId="64" fillId="0" borderId="11" xfId="0" applyNumberFormat="1" applyFont="1" applyFill="1" applyBorder="1" applyAlignment="1" applyProtection="1">
      <alignment horizontal="left" vertical="top" wrapText="1"/>
    </xf>
    <xf numFmtId="170" fontId="64" fillId="0" borderId="11" xfId="1" applyNumberFormat="1" applyFont="1" applyFill="1" applyBorder="1" applyAlignment="1" applyProtection="1">
      <alignment horizontal="center" vertical="top" wrapText="1"/>
    </xf>
    <xf numFmtId="170" fontId="64" fillId="0" borderId="11" xfId="1" applyNumberFormat="1" applyFont="1" applyFill="1" applyBorder="1" applyAlignment="1" applyProtection="1">
      <alignment horizontal="left" vertical="top" wrapText="1"/>
    </xf>
    <xf numFmtId="170" fontId="3" fillId="0" borderId="0" xfId="37" applyNumberFormat="1"/>
    <xf numFmtId="168" fontId="8" fillId="2" borderId="11" xfId="31" applyNumberFormat="1" applyFont="1" applyFill="1" applyBorder="1"/>
    <xf numFmtId="0" fontId="23" fillId="0" borderId="0" xfId="38" applyNumberFormat="1" applyFont="1" applyFill="1" applyBorder="1" applyAlignment="1" applyProtection="1">
      <alignment horizontal="center" vertical="top" wrapText="1"/>
    </xf>
    <xf numFmtId="0" fontId="23" fillId="0" borderId="0" xfId="38" applyNumberFormat="1" applyFont="1" applyFill="1" applyBorder="1" applyAlignment="1" applyProtection="1">
      <alignment horizontal="center" vertical="top" wrapText="1"/>
      <protection locked="0"/>
    </xf>
    <xf numFmtId="170" fontId="23" fillId="0" borderId="0" xfId="39" applyNumberFormat="1" applyFont="1" applyFill="1" applyBorder="1" applyAlignment="1" applyProtection="1">
      <alignment horizontal="center" vertical="top" wrapText="1"/>
      <protection locked="0"/>
    </xf>
    <xf numFmtId="0" fontId="21" fillId="0" borderId="0" xfId="38" applyNumberFormat="1" applyFont="1" applyFill="1" applyBorder="1" applyAlignment="1" applyProtection="1">
      <alignment wrapText="1"/>
      <protection locked="0"/>
    </xf>
    <xf numFmtId="0" fontId="2" fillId="0" borderId="0" xfId="38"/>
    <xf numFmtId="0" fontId="64" fillId="0" borderId="0" xfId="38" applyNumberFormat="1" applyFont="1" applyFill="1" applyBorder="1" applyAlignment="1" applyProtection="1">
      <alignment horizontal="center" vertical="top" wrapText="1"/>
    </xf>
    <xf numFmtId="0" fontId="64" fillId="0" borderId="0" xfId="38" applyNumberFormat="1" applyFont="1" applyFill="1" applyBorder="1" applyAlignment="1" applyProtection="1">
      <alignment horizontal="center" vertical="top" wrapText="1"/>
      <protection locked="0"/>
    </xf>
    <xf numFmtId="170" fontId="64" fillId="0" borderId="0" xfId="39" applyNumberFormat="1" applyFont="1" applyFill="1" applyBorder="1" applyAlignment="1" applyProtection="1">
      <alignment horizontal="center" vertical="top" wrapText="1"/>
      <protection locked="0"/>
    </xf>
    <xf numFmtId="0" fontId="23" fillId="0" borderId="0" xfId="38" applyNumberFormat="1" applyFont="1" applyFill="1" applyBorder="1" applyAlignment="1" applyProtection="1">
      <alignment horizontal="left" vertical="top" wrapText="1"/>
      <protection locked="0"/>
    </xf>
    <xf numFmtId="170" fontId="21" fillId="0" borderId="0" xfId="39" applyNumberFormat="1" applyFont="1" applyFill="1" applyBorder="1" applyAlignment="1" applyProtection="1">
      <alignment wrapText="1"/>
      <protection locked="0"/>
    </xf>
    <xf numFmtId="0" fontId="23" fillId="0" borderId="0" xfId="38" applyNumberFormat="1" applyFont="1" applyFill="1" applyBorder="1" applyAlignment="1" applyProtection="1">
      <alignment horizontal="left" vertical="top" wrapText="1"/>
    </xf>
    <xf numFmtId="0" fontId="23" fillId="0" borderId="0" xfId="38" applyNumberFormat="1" applyFont="1" applyFill="1" applyBorder="1" applyAlignment="1" applyProtection="1">
      <alignment horizontal="right" vertical="top" wrapText="1"/>
    </xf>
    <xf numFmtId="170" fontId="23" fillId="0" borderId="0" xfId="39" applyNumberFormat="1" applyFont="1" applyFill="1" applyBorder="1" applyAlignment="1" applyProtection="1">
      <alignment horizontal="right" vertical="top" wrapText="1"/>
      <protection locked="0"/>
    </xf>
    <xf numFmtId="0" fontId="23" fillId="0" borderId="0" xfId="38" applyNumberFormat="1" applyFont="1" applyFill="1" applyBorder="1" applyAlignment="1" applyProtection="1">
      <alignment horizontal="right" vertical="top" wrapText="1"/>
      <protection locked="0"/>
    </xf>
    <xf numFmtId="14" fontId="22" fillId="0" borderId="0" xfId="38" applyNumberFormat="1" applyFont="1" applyFill="1" applyBorder="1" applyAlignment="1" applyProtection="1">
      <alignment horizontal="left" vertical="top" wrapText="1"/>
    </xf>
    <xf numFmtId="0" fontId="22" fillId="0" borderId="0" xfId="38" applyNumberFormat="1" applyFont="1" applyFill="1" applyBorder="1" applyAlignment="1" applyProtection="1">
      <alignment horizontal="left" vertical="top" wrapText="1"/>
    </xf>
    <xf numFmtId="170" fontId="22" fillId="0" borderId="0" xfId="39" applyNumberFormat="1" applyFont="1" applyFill="1" applyBorder="1" applyAlignment="1" applyProtection="1">
      <alignment horizontal="right" vertical="top" wrapText="1"/>
    </xf>
    <xf numFmtId="0" fontId="22" fillId="0" borderId="0" xfId="38" applyNumberFormat="1" applyFont="1" applyFill="1" applyBorder="1" applyAlignment="1" applyProtection="1">
      <alignment horizontal="right" vertical="top" wrapText="1"/>
      <protection locked="0"/>
    </xf>
    <xf numFmtId="14" fontId="84" fillId="0" borderId="0" xfId="38" applyNumberFormat="1" applyFont="1" applyFill="1" applyBorder="1" applyAlignment="1" applyProtection="1">
      <alignment horizontal="left" vertical="top" wrapText="1"/>
    </xf>
    <xf numFmtId="0" fontId="84" fillId="0" borderId="0" xfId="38" applyNumberFormat="1" applyFont="1" applyFill="1" applyBorder="1" applyAlignment="1" applyProtection="1">
      <alignment horizontal="left" vertical="top" wrapText="1"/>
    </xf>
    <xf numFmtId="0" fontId="86" fillId="0" borderId="0" xfId="38" applyNumberFormat="1" applyFont="1" applyFill="1" applyBorder="1" applyAlignment="1" applyProtection="1">
      <alignment wrapText="1"/>
      <protection locked="0"/>
    </xf>
    <xf numFmtId="170" fontId="84" fillId="0" borderId="0" xfId="39" applyNumberFormat="1" applyFont="1" applyFill="1" applyBorder="1" applyAlignment="1" applyProtection="1">
      <alignment horizontal="right" vertical="top" wrapText="1"/>
    </xf>
    <xf numFmtId="14" fontId="84" fillId="8" borderId="0" xfId="38" applyNumberFormat="1" applyFont="1" applyFill="1" applyBorder="1" applyAlignment="1" applyProtection="1">
      <alignment horizontal="left" vertical="top" wrapText="1"/>
    </xf>
    <xf numFmtId="0" fontId="84" fillId="8" borderId="0" xfId="38" applyNumberFormat="1" applyFont="1" applyFill="1" applyBorder="1" applyAlignment="1" applyProtection="1">
      <alignment horizontal="left" vertical="top" wrapText="1"/>
    </xf>
    <xf numFmtId="0" fontId="86" fillId="8" borderId="0" xfId="38" applyNumberFormat="1" applyFont="1" applyFill="1" applyBorder="1" applyAlignment="1" applyProtection="1">
      <alignment wrapText="1"/>
      <protection locked="0"/>
    </xf>
    <xf numFmtId="170" fontId="84" fillId="8" borderId="0" xfId="39" applyNumberFormat="1" applyFont="1" applyFill="1" applyBorder="1" applyAlignment="1" applyProtection="1">
      <alignment horizontal="right" vertical="top" wrapText="1"/>
    </xf>
    <xf numFmtId="0" fontId="22" fillId="8" borderId="0" xfId="38" applyNumberFormat="1" applyFont="1" applyFill="1" applyBorder="1" applyAlignment="1" applyProtection="1">
      <alignment horizontal="right" vertical="top" wrapText="1"/>
      <protection locked="0"/>
    </xf>
    <xf numFmtId="170" fontId="21" fillId="0" borderId="0" xfId="38" applyNumberFormat="1" applyFont="1" applyFill="1" applyBorder="1" applyAlignment="1" applyProtection="1">
      <alignment wrapText="1"/>
      <protection locked="0"/>
    </xf>
    <xf numFmtId="0" fontId="84" fillId="8" borderId="0" xfId="38" applyNumberFormat="1" applyFont="1" applyFill="1" applyBorder="1" applyAlignment="1" applyProtection="1">
      <alignment horizontal="right" vertical="top" wrapText="1"/>
      <protection locked="0"/>
    </xf>
    <xf numFmtId="0" fontId="84" fillId="0" borderId="0" xfId="38" applyNumberFormat="1" applyFont="1" applyFill="1" applyBorder="1" applyAlignment="1" applyProtection="1">
      <alignment horizontal="right" vertical="top" wrapText="1"/>
      <protection locked="0"/>
    </xf>
    <xf numFmtId="170" fontId="87" fillId="0" borderId="0" xfId="39" applyNumberFormat="1" applyFont="1" applyFill="1" applyBorder="1" applyAlignment="1" applyProtection="1">
      <alignment horizontal="right" vertical="top" wrapText="1"/>
    </xf>
    <xf numFmtId="170" fontId="22" fillId="0" borderId="0" xfId="38" applyNumberFormat="1" applyFont="1" applyFill="1" applyBorder="1" applyAlignment="1" applyProtection="1">
      <alignment horizontal="right" vertical="top" wrapText="1"/>
      <protection locked="0"/>
    </xf>
    <xf numFmtId="14" fontId="22" fillId="8" borderId="0" xfId="38" applyNumberFormat="1" applyFont="1" applyFill="1" applyBorder="1" applyAlignment="1" applyProtection="1">
      <alignment horizontal="left" vertical="top" wrapText="1"/>
    </xf>
    <xf numFmtId="0" fontId="22" fillId="8" borderId="0" xfId="38" applyNumberFormat="1" applyFont="1" applyFill="1" applyBorder="1" applyAlignment="1" applyProtection="1">
      <alignment horizontal="left" vertical="top" wrapText="1"/>
    </xf>
    <xf numFmtId="0" fontId="21" fillId="8" borderId="0" xfId="38" applyNumberFormat="1" applyFont="1" applyFill="1" applyBorder="1" applyAlignment="1" applyProtection="1">
      <alignment wrapText="1"/>
      <protection locked="0"/>
    </xf>
    <xf numFmtId="170" fontId="22" fillId="8" borderId="0" xfId="39" applyNumberFormat="1" applyFont="1" applyFill="1" applyBorder="1" applyAlignment="1" applyProtection="1">
      <alignment horizontal="right" vertical="top" wrapText="1"/>
    </xf>
    <xf numFmtId="0" fontId="22" fillId="0" borderId="0" xfId="38" applyNumberFormat="1" applyFont="1" applyFill="1" applyBorder="1" applyAlignment="1" applyProtection="1">
      <alignment horizontal="left" vertical="top" wrapText="1"/>
      <protection locked="0"/>
    </xf>
    <xf numFmtId="170" fontId="0" fillId="0" borderId="0" xfId="39" applyNumberFormat="1" applyFont="1"/>
    <xf numFmtId="17" fontId="21" fillId="0" borderId="0" xfId="38" applyNumberFormat="1" applyFont="1" applyFill="1" applyBorder="1" applyAlignment="1" applyProtection="1">
      <alignment wrapText="1"/>
      <protection locked="0"/>
    </xf>
    <xf numFmtId="0" fontId="50" fillId="0" borderId="0" xfId="0" applyFont="1" applyAlignment="1">
      <alignment horizontal="center"/>
    </xf>
    <xf numFmtId="0" fontId="50" fillId="11" borderId="0" xfId="0" applyFont="1" applyFill="1"/>
    <xf numFmtId="0" fontId="50" fillId="0" borderId="0" xfId="0" applyFont="1" applyFill="1" applyAlignment="1">
      <alignment horizontal="center"/>
    </xf>
    <xf numFmtId="170" fontId="50" fillId="0" borderId="0" xfId="0" applyNumberFormat="1" applyFont="1" applyFill="1"/>
    <xf numFmtId="168" fontId="50" fillId="0" borderId="0" xfId="35" applyNumberFormat="1" applyFont="1" applyFill="1"/>
    <xf numFmtId="0" fontId="15" fillId="0" borderId="2" xfId="40" applyFont="1" applyFill="1" applyBorder="1"/>
    <xf numFmtId="9" fontId="82" fillId="0" borderId="7" xfId="18" applyFont="1" applyFill="1" applyBorder="1" applyAlignment="1">
      <alignment horizontal="center"/>
    </xf>
    <xf numFmtId="9" fontId="82" fillId="0" borderId="7" xfId="18" applyFont="1" applyFill="1" applyBorder="1" applyAlignment="1">
      <alignment horizontal="center" vertical="center"/>
    </xf>
    <xf numFmtId="170" fontId="81" fillId="0" borderId="13" xfId="31" applyNumberFormat="1" applyFont="1" applyFill="1" applyBorder="1" applyAlignment="1">
      <alignment horizontal="center" vertical="center"/>
    </xf>
    <xf numFmtId="170" fontId="81" fillId="11" borderId="13" xfId="31" applyNumberFormat="1" applyFont="1" applyFill="1" applyBorder="1" applyAlignment="1">
      <alignment horizontal="center" vertical="center"/>
    </xf>
    <xf numFmtId="170" fontId="81" fillId="3" borderId="13" xfId="31" applyNumberFormat="1" applyFont="1" applyFill="1" applyBorder="1" applyAlignment="1">
      <alignment horizontal="center" vertical="center"/>
    </xf>
    <xf numFmtId="0" fontId="81" fillId="0" borderId="5" xfId="40" applyFont="1" applyFill="1" applyBorder="1" applyAlignment="1">
      <alignment horizontal="center" vertical="center"/>
    </xf>
    <xf numFmtId="0" fontId="15" fillId="0" borderId="2" xfId="40" applyFont="1" applyFill="1" applyBorder="1" applyAlignment="1">
      <alignment vertical="center"/>
    </xf>
    <xf numFmtId="9" fontId="82" fillId="0" borderId="4" xfId="18" applyFont="1" applyFill="1" applyBorder="1" applyAlignment="1">
      <alignment horizontal="center" vertical="center"/>
    </xf>
    <xf numFmtId="170" fontId="81" fillId="0" borderId="9" xfId="31" applyNumberFormat="1" applyFont="1" applyFill="1" applyBorder="1" applyAlignment="1">
      <alignment horizontal="right" vertical="center"/>
    </xf>
    <xf numFmtId="170" fontId="81" fillId="11" borderId="9" xfId="31" applyNumberFormat="1" applyFont="1" applyFill="1" applyBorder="1" applyAlignment="1">
      <alignment horizontal="right" vertical="center"/>
    </xf>
    <xf numFmtId="0" fontId="81" fillId="0" borderId="2" xfId="40" applyFont="1" applyFill="1" applyBorder="1" applyAlignment="1">
      <alignment horizontal="center" vertical="center"/>
    </xf>
    <xf numFmtId="9" fontId="82" fillId="0" borderId="4" xfId="18" applyFont="1" applyFill="1" applyBorder="1" applyAlignment="1">
      <alignment horizontal="center"/>
    </xf>
    <xf numFmtId="170" fontId="81" fillId="0" borderId="9" xfId="31" applyNumberFormat="1" applyFont="1" applyFill="1" applyBorder="1" applyAlignment="1">
      <alignment horizontal="right"/>
    </xf>
    <xf numFmtId="170" fontId="81" fillId="11" borderId="9" xfId="31" applyNumberFormat="1" applyFont="1" applyFill="1" applyBorder="1" applyAlignment="1">
      <alignment horizontal="right"/>
    </xf>
    <xf numFmtId="0" fontId="81" fillId="0" borderId="2" xfId="40" applyFont="1" applyFill="1" applyBorder="1"/>
    <xf numFmtId="170" fontId="82" fillId="0" borderId="9" xfId="41" applyNumberFormat="1" applyFont="1" applyFill="1" applyBorder="1"/>
    <xf numFmtId="170" fontId="82" fillId="11" borderId="9" xfId="41" applyNumberFormat="1" applyFont="1" applyFill="1" applyBorder="1"/>
    <xf numFmtId="0" fontId="82" fillId="0" borderId="2" xfId="40" applyFont="1" applyFill="1" applyBorder="1"/>
    <xf numFmtId="0" fontId="81" fillId="0" borderId="2" xfId="40" applyFont="1" applyFill="1" applyBorder="1" applyAlignment="1">
      <alignment vertical="center"/>
    </xf>
    <xf numFmtId="170" fontId="82" fillId="0" borderId="9" xfId="41" applyNumberFormat="1" applyFont="1" applyFill="1" applyBorder="1" applyAlignment="1">
      <alignment vertical="center"/>
    </xf>
    <xf numFmtId="170" fontId="82" fillId="11" borderId="9" xfId="41" applyNumberFormat="1" applyFont="1" applyFill="1" applyBorder="1" applyAlignment="1">
      <alignment vertical="center"/>
    </xf>
    <xf numFmtId="0" fontId="82" fillId="0" borderId="2" xfId="40" applyFont="1" applyFill="1" applyBorder="1" applyAlignment="1">
      <alignment vertical="center" wrapText="1"/>
    </xf>
    <xf numFmtId="9" fontId="82" fillId="0" borderId="4" xfId="18" applyNumberFormat="1" applyFont="1" applyFill="1" applyBorder="1" applyAlignment="1">
      <alignment horizontal="center" vertical="center"/>
    </xf>
    <xf numFmtId="0" fontId="8" fillId="0" borderId="2" xfId="40" applyFont="1" applyFill="1" applyBorder="1"/>
    <xf numFmtId="9" fontId="50" fillId="0" borderId="4" xfId="18" applyFont="1" applyFill="1" applyBorder="1" applyAlignment="1">
      <alignment horizontal="center"/>
    </xf>
    <xf numFmtId="170" fontId="50" fillId="0" borderId="9" xfId="41" applyNumberFormat="1" applyFont="1" applyFill="1" applyBorder="1"/>
    <xf numFmtId="170" fontId="50" fillId="11" borderId="9" xfId="41" applyNumberFormat="1" applyFont="1" applyFill="1" applyBorder="1" applyAlignment="1">
      <alignment vertical="center"/>
    </xf>
    <xf numFmtId="0" fontId="50" fillId="0" borderId="2" xfId="40" applyFont="1" applyFill="1" applyBorder="1"/>
    <xf numFmtId="0" fontId="82" fillId="0" borderId="2" xfId="40" applyFont="1" applyFill="1" applyBorder="1" applyAlignment="1">
      <alignment wrapText="1"/>
    </xf>
    <xf numFmtId="0" fontId="8" fillId="0" borderId="2" xfId="40" applyFont="1" applyFill="1" applyBorder="1" applyAlignment="1">
      <alignment vertical="center"/>
    </xf>
    <xf numFmtId="170" fontId="50" fillId="0" borderId="9" xfId="41" applyNumberFormat="1" applyFont="1" applyFill="1" applyBorder="1" applyAlignment="1">
      <alignment vertical="center"/>
    </xf>
    <xf numFmtId="0" fontId="50" fillId="0" borderId="2" xfId="40" applyFont="1" applyFill="1" applyBorder="1" applyAlignment="1">
      <alignment horizontal="left" vertical="center" wrapText="1"/>
    </xf>
    <xf numFmtId="9" fontId="50" fillId="0" borderId="4" xfId="18" applyFont="1" applyFill="1" applyBorder="1" applyAlignment="1">
      <alignment horizontal="center" vertical="center"/>
    </xf>
    <xf numFmtId="0" fontId="50" fillId="0" borderId="0" xfId="0" applyFont="1" applyFill="1" applyAlignment="1">
      <alignment vertical="center"/>
    </xf>
    <xf numFmtId="168" fontId="50" fillId="0" borderId="0" xfId="35" applyNumberFormat="1" applyFont="1" applyFill="1" applyAlignment="1">
      <alignment vertical="center"/>
    </xf>
    <xf numFmtId="9" fontId="82" fillId="0" borderId="4" xfId="18" applyNumberFormat="1" applyFont="1" applyFill="1" applyBorder="1" applyAlignment="1">
      <alignment horizontal="center"/>
    </xf>
    <xf numFmtId="0" fontId="50" fillId="0" borderId="2" xfId="40" applyFont="1" applyFill="1" applyBorder="1" applyAlignment="1">
      <alignment vertical="center" wrapText="1"/>
    </xf>
    <xf numFmtId="170" fontId="50" fillId="11" borderId="9" xfId="41" applyNumberFormat="1" applyFont="1" applyFill="1" applyBorder="1"/>
    <xf numFmtId="0" fontId="81" fillId="0" borderId="2" xfId="40" applyFont="1" applyFill="1" applyBorder="1" applyAlignment="1">
      <alignment horizontal="center"/>
    </xf>
    <xf numFmtId="0" fontId="15" fillId="0" borderId="2" xfId="40" applyFont="1" applyFill="1" applyBorder="1" applyAlignment="1">
      <alignment wrapText="1"/>
    </xf>
    <xf numFmtId="168" fontId="50" fillId="0" borderId="0" xfId="35" applyNumberFormat="1" applyFont="1"/>
    <xf numFmtId="0" fontId="8" fillId="0" borderId="2" xfId="40" applyFont="1" applyFill="1" applyBorder="1" applyAlignment="1">
      <alignment horizontal="left" vertical="center" wrapText="1"/>
    </xf>
    <xf numFmtId="0" fontId="15" fillId="0" borderId="2" xfId="40" applyFont="1" applyFill="1" applyBorder="1" applyAlignment="1">
      <alignment horizontal="left" vertical="center" wrapText="1"/>
    </xf>
    <xf numFmtId="178" fontId="50" fillId="0" borderId="0" xfId="0" applyNumberFormat="1" applyFont="1"/>
    <xf numFmtId="178" fontId="50" fillId="0" borderId="0" xfId="42" applyFont="1"/>
    <xf numFmtId="9" fontId="82" fillId="4" borderId="4" xfId="18" applyFont="1" applyFill="1" applyBorder="1" applyAlignment="1">
      <alignment horizontal="center"/>
    </xf>
    <xf numFmtId="9" fontId="82" fillId="4" borderId="4" xfId="18" applyFont="1" applyFill="1" applyBorder="1" applyAlignment="1">
      <alignment horizontal="center" vertical="center"/>
    </xf>
    <xf numFmtId="170" fontId="81" fillId="4" borderId="9" xfId="31" applyNumberFormat="1" applyFont="1" applyFill="1" applyBorder="1" applyAlignment="1">
      <alignment horizontal="right" vertical="center"/>
    </xf>
    <xf numFmtId="0" fontId="81" fillId="4" borderId="2" xfId="40" applyFont="1" applyFill="1" applyBorder="1" applyAlignment="1">
      <alignment vertical="center"/>
    </xf>
    <xf numFmtId="0" fontId="50" fillId="9" borderId="0" xfId="0" applyFont="1" applyFill="1"/>
    <xf numFmtId="0" fontId="82" fillId="0" borderId="2" xfId="40" applyFont="1" applyFill="1" applyBorder="1" applyAlignment="1">
      <alignment vertical="center"/>
    </xf>
    <xf numFmtId="178" fontId="50" fillId="3" borderId="0" xfId="42" applyFont="1" applyFill="1"/>
    <xf numFmtId="170" fontId="81" fillId="4" borderId="9" xfId="31" applyNumberFormat="1" applyFont="1" applyFill="1" applyBorder="1" applyAlignment="1">
      <alignment horizontal="right"/>
    </xf>
    <xf numFmtId="0" fontId="81" fillId="4" borderId="2" xfId="40" applyFont="1" applyFill="1" applyBorder="1"/>
    <xf numFmtId="9" fontId="82" fillId="0" borderId="54" xfId="18" applyFont="1" applyFill="1" applyBorder="1" applyAlignment="1">
      <alignment horizontal="center"/>
    </xf>
    <xf numFmtId="170" fontId="82" fillId="0" borderId="47" xfId="41" applyNumberFormat="1" applyFont="1" applyFill="1" applyBorder="1" applyAlignment="1">
      <alignment horizontal="right"/>
    </xf>
    <xf numFmtId="170" fontId="82" fillId="11" borderId="47" xfId="41" applyNumberFormat="1" applyFont="1" applyFill="1" applyBorder="1" applyAlignment="1">
      <alignment horizontal="right"/>
    </xf>
    <xf numFmtId="0" fontId="82" fillId="0" borderId="53" xfId="40" applyFont="1" applyFill="1" applyBorder="1"/>
    <xf numFmtId="168" fontId="50" fillId="8" borderId="0" xfId="35" applyNumberFormat="1" applyFont="1" applyFill="1"/>
    <xf numFmtId="9" fontId="82" fillId="0" borderId="33" xfId="18" applyFont="1" applyFill="1" applyBorder="1" applyAlignment="1">
      <alignment horizontal="center"/>
    </xf>
    <xf numFmtId="170" fontId="82" fillId="0" borderId="46" xfId="41" applyNumberFormat="1" applyFont="1" applyFill="1" applyBorder="1"/>
    <xf numFmtId="170" fontId="82" fillId="11" borderId="46" xfId="41" applyNumberFormat="1" applyFont="1" applyFill="1" applyBorder="1"/>
    <xf numFmtId="0" fontId="82" fillId="0" borderId="32" xfId="40" applyFont="1" applyFill="1" applyBorder="1"/>
    <xf numFmtId="9" fontId="82" fillId="0" borderId="31" xfId="18" applyFont="1" applyFill="1" applyBorder="1" applyAlignment="1">
      <alignment horizontal="center"/>
    </xf>
    <xf numFmtId="0" fontId="82" fillId="11" borderId="0" xfId="0" applyFont="1" applyFill="1" applyBorder="1"/>
    <xf numFmtId="0" fontId="82" fillId="0" borderId="25" xfId="0" applyFont="1" applyFill="1" applyBorder="1"/>
    <xf numFmtId="170" fontId="15" fillId="0" borderId="2" xfId="40" applyNumberFormat="1" applyFont="1" applyFill="1" applyBorder="1" applyAlignment="1">
      <alignment vertical="center"/>
    </xf>
    <xf numFmtId="9" fontId="81" fillId="4" borderId="4" xfId="18" applyFont="1" applyFill="1" applyBorder="1" applyAlignment="1">
      <alignment horizontal="center" vertical="center"/>
    </xf>
    <xf numFmtId="0" fontId="81" fillId="4" borderId="2" xfId="40" applyFont="1" applyFill="1" applyBorder="1" applyAlignment="1">
      <alignment horizontal="center" vertical="center"/>
    </xf>
    <xf numFmtId="9" fontId="50" fillId="0" borderId="0" xfId="18" applyFont="1"/>
    <xf numFmtId="0" fontId="17" fillId="0" borderId="2" xfId="40" applyFont="1" applyFill="1" applyBorder="1"/>
    <xf numFmtId="9" fontId="81" fillId="0" borderId="4" xfId="18" applyFont="1" applyFill="1" applyBorder="1" applyAlignment="1">
      <alignment horizontal="center"/>
    </xf>
    <xf numFmtId="0" fontId="81" fillId="0" borderId="9" xfId="40" applyFont="1" applyFill="1" applyBorder="1" applyAlignment="1">
      <alignment horizontal="center"/>
    </xf>
    <xf numFmtId="0" fontId="81" fillId="11" borderId="9" xfId="40" applyFont="1" applyFill="1" applyBorder="1" applyAlignment="1">
      <alignment horizontal="center"/>
    </xf>
    <xf numFmtId="0" fontId="17" fillId="0" borderId="2" xfId="40" applyFont="1" applyFill="1" applyBorder="1" applyAlignment="1">
      <alignment horizontal="center"/>
    </xf>
    <xf numFmtId="9" fontId="81" fillId="0" borderId="6" xfId="18" applyFont="1" applyFill="1" applyBorder="1" applyAlignment="1">
      <alignment horizontal="center"/>
    </xf>
    <xf numFmtId="170" fontId="81" fillId="0" borderId="12" xfId="43" applyNumberFormat="1" applyFont="1" applyFill="1" applyBorder="1" applyAlignment="1">
      <alignment horizontal="center"/>
    </xf>
    <xf numFmtId="170" fontId="81" fillId="11" borderId="12" xfId="43" applyNumberFormat="1" applyFont="1" applyFill="1" applyBorder="1" applyAlignment="1">
      <alignment horizontal="center"/>
    </xf>
    <xf numFmtId="10" fontId="50" fillId="0" borderId="0" xfId="0" applyNumberFormat="1" applyFont="1"/>
    <xf numFmtId="9" fontId="50" fillId="0" borderId="0" xfId="0" applyNumberFormat="1" applyFont="1"/>
    <xf numFmtId="9" fontId="82" fillId="0" borderId="0" xfId="18" applyFont="1" applyFill="1" applyAlignment="1">
      <alignment horizontal="center"/>
    </xf>
    <xf numFmtId="170" fontId="82" fillId="0" borderId="0" xfId="43" applyNumberFormat="1" applyFont="1" applyFill="1" applyAlignment="1">
      <alignment horizontal="center"/>
    </xf>
    <xf numFmtId="170" fontId="82" fillId="11" borderId="0" xfId="43" applyNumberFormat="1" applyFont="1" applyFill="1" applyAlignment="1">
      <alignment horizontal="center"/>
    </xf>
    <xf numFmtId="0" fontId="81" fillId="0" borderId="0" xfId="40" applyFont="1" applyFill="1" applyAlignment="1">
      <alignment horizontal="center"/>
    </xf>
    <xf numFmtId="168" fontId="19" fillId="0" borderId="0" xfId="9" applyNumberFormat="1" applyFont="1" applyFill="1"/>
    <xf numFmtId="168" fontId="19" fillId="3" borderId="0" xfId="9" applyNumberFormat="1" applyFont="1" applyFill="1"/>
    <xf numFmtId="0" fontId="8" fillId="0" borderId="0" xfId="14" applyFont="1" applyFill="1" applyAlignment="1">
      <alignment horizontal="right"/>
    </xf>
    <xf numFmtId="0" fontId="10" fillId="0" borderId="0" xfId="14" applyFont="1" applyFill="1" applyAlignment="1">
      <alignment horizontal="right"/>
    </xf>
    <xf numFmtId="9" fontId="19" fillId="0" borderId="0" xfId="18" applyFont="1" applyFill="1" applyAlignment="1">
      <alignment horizontal="left"/>
    </xf>
    <xf numFmtId="0" fontId="17" fillId="8" borderId="9" xfId="15" applyFont="1" applyFill="1" applyBorder="1" applyAlignment="1">
      <alignment horizontal="center"/>
    </xf>
    <xf numFmtId="170" fontId="17" fillId="8" borderId="9" xfId="1" applyNumberFormat="1" applyFont="1" applyFill="1" applyBorder="1" applyAlignment="1">
      <alignment horizontal="right"/>
    </xf>
    <xf numFmtId="9" fontId="17" fillId="8" borderId="9" xfId="18" applyFont="1" applyFill="1" applyBorder="1" applyAlignment="1">
      <alignment horizontal="right"/>
    </xf>
    <xf numFmtId="170" fontId="15" fillId="8" borderId="9" xfId="18" applyNumberFormat="1" applyFont="1" applyFill="1" applyBorder="1" applyAlignment="1">
      <alignment horizontal="right"/>
    </xf>
    <xf numFmtId="9" fontId="53" fillId="8" borderId="16" xfId="18" applyFont="1" applyFill="1" applyBorder="1" applyAlignment="1">
      <alignment horizontal="right"/>
    </xf>
    <xf numFmtId="170" fontId="9" fillId="8" borderId="2" xfId="1" applyNumberFormat="1" applyFont="1" applyFill="1" applyBorder="1" applyAlignment="1">
      <alignment horizontal="right"/>
    </xf>
    <xf numFmtId="170" fontId="9" fillId="8" borderId="9" xfId="1" applyNumberFormat="1" applyFont="1" applyFill="1" applyBorder="1" applyAlignment="1">
      <alignment horizontal="right"/>
    </xf>
    <xf numFmtId="9" fontId="53" fillId="8" borderId="4" xfId="18" applyFont="1" applyFill="1" applyBorder="1" applyAlignment="1">
      <alignment horizontal="right"/>
    </xf>
    <xf numFmtId="9" fontId="10" fillId="8" borderId="0" xfId="0" applyNumberFormat="1" applyFont="1" applyFill="1"/>
    <xf numFmtId="0" fontId="0" fillId="8" borderId="0" xfId="0" applyFill="1"/>
    <xf numFmtId="170" fontId="15" fillId="8" borderId="9" xfId="3" applyNumberFormat="1" applyFont="1" applyFill="1" applyBorder="1"/>
    <xf numFmtId="0" fontId="0" fillId="8" borderId="0" xfId="0" applyFill="1" applyBorder="1"/>
    <xf numFmtId="170" fontId="0" fillId="8" borderId="0" xfId="1" applyNumberFormat="1" applyFont="1" applyFill="1"/>
    <xf numFmtId="9" fontId="15" fillId="8" borderId="9" xfId="18" applyFont="1" applyFill="1" applyBorder="1" applyAlignment="1">
      <alignment horizontal="right"/>
    </xf>
    <xf numFmtId="9" fontId="52" fillId="8" borderId="16" xfId="18" applyFont="1" applyFill="1" applyBorder="1" applyAlignment="1">
      <alignment horizontal="right"/>
    </xf>
    <xf numFmtId="9" fontId="52" fillId="8" borderId="4" xfId="18" applyFont="1" applyFill="1" applyBorder="1" applyAlignment="1">
      <alignment horizontal="right"/>
    </xf>
    <xf numFmtId="170" fontId="82" fillId="8" borderId="0" xfId="3" applyNumberFormat="1" applyFont="1" applyFill="1" applyBorder="1"/>
    <xf numFmtId="0" fontId="88" fillId="0" borderId="0" xfId="38" applyNumberFormat="1" applyFont="1" applyFill="1" applyBorder="1" applyAlignment="1" applyProtection="1">
      <alignment horizontal="left" vertical="top" wrapText="1"/>
    </xf>
    <xf numFmtId="170" fontId="88" fillId="0" borderId="0" xfId="38" applyNumberFormat="1" applyFont="1" applyFill="1" applyBorder="1" applyAlignment="1" applyProtection="1">
      <alignment horizontal="right" vertical="top" wrapText="1"/>
      <protection locked="0"/>
    </xf>
    <xf numFmtId="170" fontId="84" fillId="0" borderId="0" xfId="38" applyNumberFormat="1" applyFont="1" applyFill="1" applyBorder="1" applyAlignment="1" applyProtection="1">
      <alignment horizontal="right" vertical="top" wrapText="1"/>
      <protection locked="0"/>
    </xf>
    <xf numFmtId="0" fontId="89" fillId="0" borderId="0" xfId="38" applyNumberFormat="1" applyFont="1" applyFill="1" applyBorder="1" applyAlignment="1" applyProtection="1">
      <alignment horizontal="left" vertical="top" wrapText="1"/>
    </xf>
    <xf numFmtId="170" fontId="89" fillId="0" borderId="0" xfId="38" applyNumberFormat="1" applyFont="1" applyFill="1" applyBorder="1" applyAlignment="1" applyProtection="1">
      <alignment horizontal="right" vertical="top" wrapText="1"/>
      <protection locked="0"/>
    </xf>
    <xf numFmtId="0" fontId="90" fillId="0" borderId="0" xfId="38" applyNumberFormat="1" applyFont="1" applyFill="1" applyBorder="1" applyAlignment="1" applyProtection="1">
      <alignment horizontal="left" vertical="top" wrapText="1"/>
    </xf>
    <xf numFmtId="0" fontId="87" fillId="0" borderId="0" xfId="38" applyNumberFormat="1" applyFont="1" applyFill="1" applyBorder="1" applyAlignment="1" applyProtection="1">
      <alignment horizontal="left" vertical="top" wrapText="1"/>
    </xf>
    <xf numFmtId="170" fontId="87" fillId="0" borderId="0" xfId="38" applyNumberFormat="1" applyFont="1" applyFill="1" applyBorder="1" applyAlignment="1" applyProtection="1">
      <alignment horizontal="right" vertical="top" wrapText="1"/>
      <protection locked="0"/>
    </xf>
    <xf numFmtId="170" fontId="23" fillId="8" borderId="11" xfId="39" applyNumberFormat="1" applyFont="1" applyFill="1" applyBorder="1" applyAlignment="1" applyProtection="1">
      <alignment horizontal="right" vertical="top" wrapText="1"/>
      <protection locked="0"/>
    </xf>
    <xf numFmtId="170" fontId="22" fillId="8" borderId="11" xfId="39" applyNumberFormat="1" applyFont="1" applyFill="1" applyBorder="1" applyAlignment="1" applyProtection="1">
      <alignment horizontal="right" vertical="top" wrapText="1"/>
    </xf>
    <xf numFmtId="0" fontId="66" fillId="0" borderId="0" xfId="38" applyNumberFormat="1" applyFont="1" applyFill="1" applyBorder="1" applyAlignment="1" applyProtection="1">
      <alignment horizontal="right" vertical="top" wrapText="1"/>
    </xf>
    <xf numFmtId="170" fontId="21" fillId="8" borderId="0" xfId="39" applyNumberFormat="1" applyFont="1" applyFill="1" applyBorder="1" applyAlignment="1" applyProtection="1">
      <alignment wrapText="1"/>
      <protection locked="0"/>
    </xf>
    <xf numFmtId="9" fontId="0" fillId="0" borderId="0" xfId="18" applyFont="1"/>
    <xf numFmtId="170" fontId="21" fillId="0" borderId="11" xfId="1" applyNumberFormat="1" applyFont="1" applyBorder="1"/>
    <xf numFmtId="170" fontId="65" fillId="0" borderId="11" xfId="1" applyNumberFormat="1" applyFont="1" applyFill="1" applyBorder="1" applyAlignment="1" applyProtection="1">
      <alignment horizontal="center" vertical="top" wrapText="1"/>
    </xf>
    <xf numFmtId="9" fontId="15" fillId="0" borderId="0" xfId="18" applyFont="1" applyFill="1" applyBorder="1" applyAlignment="1">
      <alignment horizontal="left"/>
    </xf>
    <xf numFmtId="167" fontId="22" fillId="0" borderId="0" xfId="0" applyNumberFormat="1" applyFont="1" applyFill="1" applyBorder="1" applyAlignment="1" applyProtection="1">
      <alignment horizontal="left" vertical="top" wrapText="1"/>
    </xf>
    <xf numFmtId="167" fontId="10" fillId="8" borderId="0" xfId="1" applyNumberFormat="1" applyFont="1" applyFill="1"/>
    <xf numFmtId="9" fontId="3" fillId="0" borderId="0" xfId="18" applyFont="1"/>
    <xf numFmtId="0" fontId="64" fillId="0" borderId="0" xfId="0" applyNumberFormat="1" applyFont="1" applyFill="1" applyBorder="1" applyAlignment="1" applyProtection="1">
      <alignment horizontal="center" vertical="top" wrapText="1"/>
    </xf>
    <xf numFmtId="0" fontId="64" fillId="0" borderId="0" xfId="0" applyNumberFormat="1" applyFont="1" applyFill="1" applyBorder="1" applyAlignment="1" applyProtection="1">
      <alignment vertical="top" wrapText="1"/>
      <protection locked="0"/>
    </xf>
    <xf numFmtId="0" fontId="64" fillId="0" borderId="11" xfId="0" applyNumberFormat="1" applyFont="1" applyFill="1" applyBorder="1" applyAlignment="1" applyProtection="1">
      <alignment vertical="top" wrapText="1"/>
      <protection locked="0"/>
    </xf>
    <xf numFmtId="170" fontId="64" fillId="0" borderId="0" xfId="0" applyNumberFormat="1" applyFont="1" applyFill="1" applyBorder="1" applyAlignment="1" applyProtection="1">
      <alignment vertical="top" wrapText="1"/>
      <protection locked="0"/>
    </xf>
    <xf numFmtId="170" fontId="64" fillId="0" borderId="11" xfId="1" applyNumberFormat="1" applyFont="1" applyFill="1" applyBorder="1" applyAlignment="1" applyProtection="1">
      <alignment horizontal="right" vertical="top" wrapText="1"/>
      <protection locked="0"/>
    </xf>
    <xf numFmtId="171" fontId="64" fillId="0" borderId="0" xfId="0" applyNumberFormat="1" applyFont="1" applyFill="1" applyBorder="1" applyAlignment="1" applyProtection="1">
      <alignment vertical="top" wrapText="1"/>
    </xf>
    <xf numFmtId="170" fontId="65" fillId="0" borderId="11" xfId="1" applyNumberFormat="1" applyFont="1" applyFill="1" applyBorder="1" applyAlignment="1" applyProtection="1">
      <alignment horizontal="left" vertical="top" wrapText="1"/>
    </xf>
    <xf numFmtId="170" fontId="22" fillId="0" borderId="0" xfId="0" applyNumberFormat="1" applyFont="1" applyFill="1" applyBorder="1" applyAlignment="1" applyProtection="1">
      <alignment horizontal="left" vertical="top" wrapText="1"/>
    </xf>
    <xf numFmtId="0" fontId="17" fillId="12" borderId="0" xfId="15" applyFont="1" applyFill="1"/>
    <xf numFmtId="168" fontId="15" fillId="3" borderId="0" xfId="9" applyNumberFormat="1" applyFont="1" applyFill="1"/>
    <xf numFmtId="44" fontId="8" fillId="0" borderId="0" xfId="44" applyFont="1" applyFill="1" applyAlignment="1">
      <alignment horizontal="right"/>
    </xf>
    <xf numFmtId="170" fontId="8" fillId="0" borderId="0" xfId="34" applyNumberFormat="1" applyFont="1"/>
    <xf numFmtId="0" fontId="64" fillId="0" borderId="9" xfId="0" applyNumberFormat="1" applyFont="1" applyFill="1" applyBorder="1" applyAlignment="1" applyProtection="1">
      <alignment horizontal="right" vertical="top" wrapText="1"/>
      <protection locked="0"/>
    </xf>
    <xf numFmtId="170" fontId="64" fillId="0" borderId="9" xfId="1" applyNumberFormat="1" applyFont="1" applyFill="1" applyBorder="1" applyAlignment="1" applyProtection="1">
      <alignment horizontal="right" vertical="top" wrapText="1"/>
    </xf>
    <xf numFmtId="0" fontId="64" fillId="0" borderId="9" xfId="0" applyNumberFormat="1" applyFont="1" applyFill="1" applyBorder="1" applyAlignment="1" applyProtection="1">
      <alignment horizontal="left" vertical="top" wrapText="1"/>
    </xf>
    <xf numFmtId="0" fontId="0" fillId="0" borderId="9" xfId="0" applyBorder="1"/>
    <xf numFmtId="170" fontId="0" fillId="0" borderId="9" xfId="0" applyNumberFormat="1" applyBorder="1"/>
    <xf numFmtId="9" fontId="64" fillId="0" borderId="9" xfId="18" applyFont="1" applyFill="1" applyBorder="1" applyAlignment="1" applyProtection="1">
      <alignment horizontal="right" vertical="top" wrapText="1"/>
      <protection locked="0"/>
    </xf>
    <xf numFmtId="9" fontId="0" fillId="0" borderId="9" xfId="18" applyFont="1" applyBorder="1"/>
    <xf numFmtId="170" fontId="64" fillId="0" borderId="9" xfId="0" applyNumberFormat="1" applyFont="1" applyFill="1" applyBorder="1" applyAlignment="1" applyProtection="1">
      <alignment horizontal="right" vertical="top" wrapText="1"/>
      <protection locked="0"/>
    </xf>
    <xf numFmtId="0" fontId="74" fillId="0" borderId="9" xfId="0" applyNumberFormat="1" applyFont="1" applyFill="1" applyBorder="1" applyAlignment="1" applyProtection="1">
      <alignment horizontal="right" vertical="top" wrapText="1"/>
      <protection locked="0"/>
    </xf>
    <xf numFmtId="170" fontId="74" fillId="0" borderId="9" xfId="1" applyNumberFormat="1" applyFont="1" applyFill="1" applyBorder="1" applyAlignment="1" applyProtection="1">
      <alignment horizontal="right" vertical="top" wrapText="1"/>
    </xf>
    <xf numFmtId="0" fontId="74" fillId="0" borderId="9" xfId="0" applyNumberFormat="1" applyFont="1" applyFill="1" applyBorder="1" applyAlignment="1" applyProtection="1">
      <alignment horizontal="left" vertical="top" wrapText="1"/>
    </xf>
    <xf numFmtId="0" fontId="19" fillId="0" borderId="9" xfId="0" applyFont="1" applyBorder="1"/>
    <xf numFmtId="170" fontId="19" fillId="0" borderId="9" xfId="0" applyNumberFormat="1" applyFont="1" applyBorder="1"/>
    <xf numFmtId="0" fontId="62" fillId="0" borderId="9" xfId="0" applyNumberFormat="1" applyFont="1" applyFill="1" applyBorder="1" applyAlignment="1" applyProtection="1">
      <alignment horizontal="right" vertical="top" wrapText="1"/>
      <protection locked="0"/>
    </xf>
    <xf numFmtId="170" fontId="62" fillId="0" borderId="9" xfId="1" applyNumberFormat="1" applyFont="1" applyFill="1" applyBorder="1" applyAlignment="1" applyProtection="1">
      <alignment horizontal="right" vertical="top" wrapText="1"/>
    </xf>
    <xf numFmtId="0" fontId="62" fillId="0" borderId="9" xfId="0" applyNumberFormat="1" applyFont="1" applyFill="1" applyBorder="1" applyAlignment="1" applyProtection="1">
      <alignment horizontal="left" vertical="top" wrapText="1"/>
    </xf>
    <xf numFmtId="0" fontId="9" fillId="0" borderId="9" xfId="0" applyFont="1" applyBorder="1"/>
    <xf numFmtId="166" fontId="10" fillId="0" borderId="0" xfId="1" applyFont="1"/>
    <xf numFmtId="0" fontId="62" fillId="0" borderId="0" xfId="0" applyNumberFormat="1" applyFont="1" applyFill="1" applyBorder="1" applyAlignment="1" applyProtection="1">
      <alignment horizontal="center" vertical="top" wrapText="1"/>
    </xf>
    <xf numFmtId="0" fontId="71" fillId="0" borderId="18" xfId="0" applyFont="1" applyBorder="1" applyAlignment="1"/>
    <xf numFmtId="164" fontId="71" fillId="0" borderId="20" xfId="1" applyNumberFormat="1" applyFont="1" applyBorder="1"/>
    <xf numFmtId="170" fontId="22" fillId="0" borderId="0" xfId="1" applyNumberFormat="1" applyFont="1" applyFill="1" applyBorder="1" applyAlignment="1" applyProtection="1">
      <alignment horizontal="left" vertical="top" wrapText="1"/>
    </xf>
    <xf numFmtId="170" fontId="1" fillId="0" borderId="0" xfId="1" applyNumberFormat="1" applyFont="1"/>
    <xf numFmtId="170" fontId="64" fillId="0" borderId="0" xfId="1" applyNumberFormat="1" applyFont="1" applyFill="1" applyBorder="1" applyAlignment="1" applyProtection="1">
      <alignment horizontal="left" vertical="top" wrapText="1"/>
      <protection locked="0"/>
    </xf>
    <xf numFmtId="170" fontId="62" fillId="0" borderId="0" xfId="0" applyNumberFormat="1" applyFont="1" applyFill="1" applyBorder="1" applyAlignment="1" applyProtection="1">
      <alignment horizontal="right" vertical="top" wrapText="1"/>
      <protection locked="0"/>
    </xf>
    <xf numFmtId="0" fontId="62" fillId="0" borderId="0" xfId="0" applyNumberFormat="1" applyFont="1" applyFill="1" applyBorder="1" applyAlignment="1" applyProtection="1">
      <alignment horizontal="right" vertical="top" wrapText="1"/>
      <protection locked="0"/>
    </xf>
    <xf numFmtId="0" fontId="62" fillId="0" borderId="11" xfId="0" applyNumberFormat="1" applyFont="1" applyFill="1" applyBorder="1" applyAlignment="1" applyProtection="1">
      <alignment horizontal="left" vertical="top" wrapText="1"/>
      <protection locked="0"/>
    </xf>
    <xf numFmtId="0" fontId="17" fillId="0" borderId="0" xfId="14" applyFont="1" applyBorder="1" applyAlignment="1">
      <alignment horizontal="center"/>
    </xf>
    <xf numFmtId="171" fontId="16" fillId="0" borderId="0" xfId="0" applyNumberFormat="1" applyFont="1" applyFill="1" applyBorder="1" applyAlignment="1" applyProtection="1">
      <alignment horizontal="right" vertical="top" wrapText="1"/>
    </xf>
    <xf numFmtId="0" fontId="16" fillId="0" borderId="0" xfId="0" applyNumberFormat="1" applyFont="1" applyFill="1" applyBorder="1" applyAlignment="1" applyProtection="1">
      <alignment horizontal="right" vertical="top" wrapText="1"/>
      <protection locked="0"/>
    </xf>
    <xf numFmtId="0" fontId="17" fillId="0" borderId="9" xfId="15" applyFont="1" applyFill="1" applyBorder="1" applyAlignment="1">
      <alignment horizontal="center" vertical="center"/>
    </xf>
    <xf numFmtId="164" fontId="17" fillId="0" borderId="0" xfId="10" applyFont="1" applyFill="1" applyAlignment="1">
      <alignment horizontal="center"/>
    </xf>
    <xf numFmtId="0" fontId="9" fillId="0" borderId="0" xfId="14" applyFont="1" applyFill="1" applyAlignment="1">
      <alignment horizontal="center"/>
    </xf>
    <xf numFmtId="0" fontId="62" fillId="0" borderId="0" xfId="0" applyNumberFormat="1" applyFont="1" applyFill="1" applyBorder="1" applyAlignment="1" applyProtection="1">
      <alignment horizontal="center" vertical="top" wrapText="1"/>
    </xf>
    <xf numFmtId="14" fontId="62" fillId="0" borderId="0" xfId="0" applyNumberFormat="1" applyFont="1" applyFill="1" applyBorder="1" applyAlignment="1" applyProtection="1">
      <alignment horizontal="center" vertical="top" wrapText="1"/>
    </xf>
    <xf numFmtId="0" fontId="64" fillId="0" borderId="0" xfId="0" applyNumberFormat="1" applyFont="1" applyFill="1" applyBorder="1" applyAlignment="1" applyProtection="1">
      <alignment horizontal="center" vertical="top" wrapText="1"/>
    </xf>
    <xf numFmtId="14" fontId="64" fillId="0" borderId="41" xfId="0" applyNumberFormat="1" applyFont="1" applyFill="1" applyBorder="1" applyAlignment="1" applyProtection="1">
      <alignment horizontal="center" vertical="top" wrapText="1"/>
    </xf>
    <xf numFmtId="0" fontId="62" fillId="0" borderId="0" xfId="37" applyNumberFormat="1" applyFont="1" applyFill="1" applyBorder="1" applyAlignment="1" applyProtection="1">
      <alignment horizontal="center" vertical="top" wrapText="1"/>
    </xf>
    <xf numFmtId="0" fontId="25" fillId="0" borderId="0" xfId="20" applyNumberFormat="1" applyFont="1" applyAlignment="1">
      <alignment horizontal="center" vertical="center" wrapText="1" shrinkToFit="1"/>
    </xf>
    <xf numFmtId="0" fontId="7" fillId="0" borderId="0" xfId="20" applyAlignment="1">
      <alignment horizontal="center" vertical="center" wrapText="1" shrinkToFit="1"/>
    </xf>
    <xf numFmtId="0" fontId="28" fillId="0" borderId="0" xfId="20" applyNumberFormat="1" applyFont="1" applyAlignment="1">
      <alignment horizontal="center" vertical="center" wrapText="1" shrinkToFit="1"/>
    </xf>
    <xf numFmtId="0" fontId="28" fillId="0" borderId="18" xfId="20" applyNumberFormat="1" applyFont="1" applyBorder="1" applyAlignment="1">
      <alignment horizontal="center" vertical="center" wrapText="1" shrinkToFit="1"/>
    </xf>
    <xf numFmtId="0" fontId="28" fillId="0" borderId="19" xfId="20" applyNumberFormat="1" applyFont="1" applyBorder="1" applyAlignment="1">
      <alignment horizontal="center" vertical="center" wrapText="1" shrinkToFit="1"/>
    </xf>
    <xf numFmtId="0" fontId="28" fillId="0" borderId="20" xfId="20" applyNumberFormat="1" applyFont="1" applyBorder="1" applyAlignment="1">
      <alignment horizontal="center" vertical="center" wrapText="1" shrinkToFit="1"/>
    </xf>
    <xf numFmtId="176" fontId="29" fillId="4" borderId="18" xfId="22" applyNumberFormat="1" applyFont="1" applyFill="1" applyBorder="1" applyAlignment="1">
      <alignment horizontal="center" vertical="center" wrapText="1"/>
    </xf>
    <xf numFmtId="176" fontId="29" fillId="4" borderId="19" xfId="22" applyNumberFormat="1" applyFont="1" applyFill="1" applyBorder="1" applyAlignment="1">
      <alignment horizontal="center" vertical="center" wrapText="1"/>
    </xf>
    <xf numFmtId="176" fontId="29" fillId="4" borderId="20" xfId="22" applyNumberFormat="1" applyFont="1" applyFill="1" applyBorder="1" applyAlignment="1">
      <alignment horizontal="center" vertical="center" wrapText="1"/>
    </xf>
    <xf numFmtId="0" fontId="33" fillId="0" borderId="18" xfId="20" applyFont="1" applyBorder="1" applyAlignment="1">
      <alignment horizontal="center" vertical="center" wrapText="1"/>
    </xf>
    <xf numFmtId="0" fontId="33" fillId="0" borderId="19" xfId="20" applyFont="1" applyBorder="1" applyAlignment="1">
      <alignment horizontal="center" vertical="center" wrapText="1"/>
    </xf>
    <xf numFmtId="0" fontId="33" fillId="0" borderId="20" xfId="20" applyFont="1" applyBorder="1" applyAlignment="1">
      <alignment horizontal="center" vertical="center" wrapText="1"/>
    </xf>
    <xf numFmtId="0" fontId="34" fillId="0" borderId="21" xfId="20" applyFont="1" applyBorder="1" applyAlignment="1">
      <alignment horizontal="center" vertical="center" wrapText="1"/>
    </xf>
    <xf numFmtId="0" fontId="34" fillId="0" borderId="24" xfId="20" applyFont="1" applyBorder="1" applyAlignment="1">
      <alignment horizontal="center" vertical="center" wrapText="1"/>
    </xf>
    <xf numFmtId="14" fontId="34" fillId="0" borderId="21" xfId="22" applyNumberFormat="1" applyFont="1" applyBorder="1" applyAlignment="1">
      <alignment horizontal="center" vertical="center" wrapText="1"/>
    </xf>
    <xf numFmtId="14" fontId="34" fillId="0" borderId="24" xfId="22" applyNumberFormat="1" applyFont="1" applyBorder="1" applyAlignment="1">
      <alignment horizontal="center" vertical="center" wrapText="1"/>
    </xf>
    <xf numFmtId="176" fontId="34" fillId="0" borderId="23" xfId="22" applyNumberFormat="1" applyFont="1" applyBorder="1" applyAlignment="1">
      <alignment horizontal="center" vertical="center" wrapText="1"/>
    </xf>
    <xf numFmtId="176" fontId="34" fillId="0" borderId="26" xfId="22" applyNumberFormat="1" applyFont="1" applyBorder="1" applyAlignment="1">
      <alignment horizontal="center" vertical="center" wrapText="1"/>
    </xf>
    <xf numFmtId="176" fontId="34" fillId="0" borderId="21" xfId="22" applyNumberFormat="1" applyFont="1" applyBorder="1" applyAlignment="1">
      <alignment horizontal="center" vertical="center" wrapText="1"/>
    </xf>
    <xf numFmtId="176" fontId="34" fillId="0" borderId="24" xfId="22" applyNumberFormat="1" applyFont="1" applyBorder="1" applyAlignment="1">
      <alignment horizontal="center" vertical="center" wrapText="1"/>
    </xf>
    <xf numFmtId="0" fontId="34" fillId="0" borderId="23" xfId="20" applyFont="1" applyBorder="1" applyAlignment="1">
      <alignment horizontal="center" vertical="center" wrapText="1"/>
    </xf>
    <xf numFmtId="0" fontId="34" fillId="0" borderId="26" xfId="20" applyFont="1" applyBorder="1" applyAlignment="1">
      <alignment horizontal="center" vertical="center" wrapText="1"/>
    </xf>
    <xf numFmtId="42" fontId="39" fillId="0" borderId="3" xfId="23" applyFont="1" applyBorder="1" applyAlignment="1">
      <alignment horizontal="center" vertical="center" wrapText="1"/>
    </xf>
    <xf numFmtId="42" fontId="39" fillId="0" borderId="10" xfId="23" applyFont="1" applyBorder="1" applyAlignment="1">
      <alignment horizontal="center" vertical="center" wrapText="1"/>
    </xf>
    <xf numFmtId="42" fontId="39" fillId="0" borderId="34" xfId="23" applyFont="1" applyBorder="1" applyAlignment="1">
      <alignment horizontal="center" vertical="center" wrapText="1"/>
    </xf>
    <xf numFmtId="0" fontId="37" fillId="0" borderId="3" xfId="20" applyFont="1" applyBorder="1" applyAlignment="1">
      <alignment horizontal="justify" vertical="center" wrapText="1"/>
    </xf>
    <xf numFmtId="0" fontId="37" fillId="0" borderId="10" xfId="20" applyFont="1" applyBorder="1" applyAlignment="1">
      <alignment horizontal="justify" vertical="center" wrapText="1"/>
    </xf>
    <xf numFmtId="0" fontId="37" fillId="0" borderId="34" xfId="20" applyFont="1" applyBorder="1" applyAlignment="1">
      <alignment horizontal="justify" vertical="center" wrapText="1"/>
    </xf>
    <xf numFmtId="0" fontId="38" fillId="0" borderId="3" xfId="20" applyFont="1" applyBorder="1" applyAlignment="1">
      <alignment horizontal="center" vertical="center" wrapText="1"/>
    </xf>
    <xf numFmtId="0" fontId="38" fillId="0" borderId="10" xfId="20" applyFont="1" applyBorder="1" applyAlignment="1">
      <alignment horizontal="center" vertical="center" wrapText="1"/>
    </xf>
    <xf numFmtId="0" fontId="38" fillId="0" borderId="34" xfId="20" applyFont="1" applyBorder="1" applyAlignment="1">
      <alignment horizontal="center" vertical="center" wrapText="1"/>
    </xf>
    <xf numFmtId="14" fontId="39" fillId="0" borderId="3" xfId="20" applyNumberFormat="1" applyFont="1" applyBorder="1" applyAlignment="1">
      <alignment horizontal="center" vertical="center" wrapText="1"/>
    </xf>
    <xf numFmtId="14" fontId="39" fillId="0" borderId="10" xfId="20" applyNumberFormat="1" applyFont="1" applyBorder="1" applyAlignment="1">
      <alignment horizontal="center" vertical="center" wrapText="1"/>
    </xf>
    <xf numFmtId="14" fontId="39" fillId="0" borderId="34" xfId="20" applyNumberFormat="1" applyFont="1" applyBorder="1" applyAlignment="1">
      <alignment horizontal="center" vertical="center" wrapText="1"/>
    </xf>
    <xf numFmtId="42" fontId="39" fillId="0" borderId="27" xfId="23" applyFont="1" applyBorder="1" applyAlignment="1">
      <alignment horizontal="center" vertical="center" wrapText="1"/>
    </xf>
    <xf numFmtId="42" fontId="39" fillId="0" borderId="25" xfId="23" applyFont="1" applyBorder="1" applyAlignment="1">
      <alignment horizontal="center" vertical="center" wrapText="1"/>
    </xf>
    <xf numFmtId="42" fontId="39" fillId="0" borderId="37" xfId="23" applyFont="1" applyBorder="1" applyAlignment="1">
      <alignment horizontal="center" vertical="center" wrapText="1"/>
    </xf>
    <xf numFmtId="42" fontId="39" fillId="0" borderId="28" xfId="23" applyFont="1" applyBorder="1" applyAlignment="1">
      <alignment horizontal="center" vertical="center" wrapText="1"/>
    </xf>
    <xf numFmtId="42" fontId="39" fillId="0" borderId="0" xfId="23" applyFont="1" applyBorder="1" applyAlignment="1">
      <alignment horizontal="center" vertical="center" wrapText="1"/>
    </xf>
    <xf numFmtId="42" fontId="39" fillId="0" borderId="38" xfId="23" applyFont="1" applyBorder="1" applyAlignment="1">
      <alignment horizontal="center" vertical="center" wrapText="1"/>
    </xf>
    <xf numFmtId="42" fontId="39" fillId="0" borderId="29" xfId="23" applyFont="1" applyBorder="1" applyAlignment="1">
      <alignment horizontal="center" vertical="center" wrapText="1"/>
    </xf>
    <xf numFmtId="42" fontId="39" fillId="0" borderId="31" xfId="23" applyFont="1" applyBorder="1" applyAlignment="1">
      <alignment horizontal="center" vertical="center" wrapText="1"/>
    </xf>
    <xf numFmtId="42" fontId="39" fillId="0" borderId="39" xfId="23" applyFont="1" applyBorder="1" applyAlignment="1">
      <alignment horizontal="center" vertical="center" wrapText="1"/>
    </xf>
    <xf numFmtId="0" fontId="40" fillId="0" borderId="3" xfId="20" applyFont="1" applyFill="1" applyBorder="1" applyAlignment="1">
      <alignment horizontal="justify" vertical="center" wrapText="1"/>
    </xf>
    <xf numFmtId="0" fontId="40" fillId="0" borderId="10" xfId="20" applyFont="1" applyFill="1" applyBorder="1" applyAlignment="1">
      <alignment horizontal="justify" vertical="center" wrapText="1"/>
    </xf>
    <xf numFmtId="0" fontId="40" fillId="0" borderId="34" xfId="20" applyFont="1" applyFill="1" applyBorder="1" applyAlignment="1">
      <alignment horizontal="justify" vertical="center" wrapText="1"/>
    </xf>
    <xf numFmtId="0" fontId="35" fillId="0" borderId="3" xfId="20" applyFont="1" applyBorder="1" applyAlignment="1">
      <alignment horizontal="center" vertical="center" wrapText="1"/>
    </xf>
    <xf numFmtId="0" fontId="35" fillId="0" borderId="10" xfId="20" applyFont="1" applyBorder="1" applyAlignment="1">
      <alignment horizontal="center" vertical="center" wrapText="1"/>
    </xf>
    <xf numFmtId="14" fontId="36" fillId="0" borderId="3" xfId="20" applyNumberFormat="1" applyFont="1" applyBorder="1" applyAlignment="1">
      <alignment horizontal="center" vertical="center" wrapText="1"/>
    </xf>
    <xf numFmtId="14" fontId="36" fillId="0" borderId="10" xfId="20" applyNumberFormat="1" applyFont="1" applyBorder="1" applyAlignment="1">
      <alignment horizontal="center" vertical="center" wrapText="1"/>
    </xf>
    <xf numFmtId="42" fontId="36" fillId="0" borderId="3" xfId="23" applyFont="1" applyBorder="1" applyAlignment="1">
      <alignment horizontal="center" vertical="center" wrapText="1"/>
    </xf>
    <xf numFmtId="42" fontId="36" fillId="0" borderId="10" xfId="23" applyFont="1" applyBorder="1" applyAlignment="1">
      <alignment horizontal="center" vertical="center" wrapText="1"/>
    </xf>
    <xf numFmtId="42" fontId="36" fillId="0" borderId="27" xfId="23" applyFont="1" applyBorder="1" applyAlignment="1">
      <alignment horizontal="center" vertical="center" wrapText="1"/>
    </xf>
    <xf numFmtId="42" fontId="36" fillId="0" borderId="25" xfId="23" applyFont="1" applyBorder="1" applyAlignment="1">
      <alignment horizontal="center" vertical="center" wrapText="1"/>
    </xf>
    <xf numFmtId="42" fontId="36" fillId="0" borderId="28" xfId="23" applyFont="1" applyBorder="1" applyAlignment="1">
      <alignment horizontal="center" vertical="center" wrapText="1"/>
    </xf>
    <xf numFmtId="42" fontId="36" fillId="0" borderId="0" xfId="23" applyFont="1" applyBorder="1" applyAlignment="1">
      <alignment horizontal="center" vertical="center" wrapText="1"/>
    </xf>
    <xf numFmtId="42" fontId="36" fillId="0" borderId="29" xfId="23" applyFont="1" applyBorder="1" applyAlignment="1">
      <alignment horizontal="center" vertical="center" wrapText="1"/>
    </xf>
    <xf numFmtId="42" fontId="36" fillId="0" borderId="31" xfId="23" applyFont="1" applyBorder="1" applyAlignment="1">
      <alignment horizontal="center" vertical="center" wrapText="1"/>
    </xf>
    <xf numFmtId="0" fontId="38" fillId="0" borderId="25" xfId="20" applyFont="1" applyFill="1" applyBorder="1" applyAlignment="1">
      <alignment horizontal="center" vertical="center" wrapText="1"/>
    </xf>
    <xf numFmtId="0" fontId="38" fillId="0" borderId="37" xfId="20" applyFont="1" applyFill="1" applyBorder="1" applyAlignment="1">
      <alignment horizontal="center" vertical="center" wrapText="1"/>
    </xf>
    <xf numFmtId="0" fontId="38" fillId="0" borderId="10" xfId="20" applyFont="1" applyFill="1" applyBorder="1" applyAlignment="1">
      <alignment horizontal="center" vertical="center" wrapText="1"/>
    </xf>
    <xf numFmtId="0" fontId="38" fillId="0" borderId="34" xfId="20" applyFont="1" applyFill="1" applyBorder="1" applyAlignment="1">
      <alignment horizontal="center" vertical="center" wrapText="1"/>
    </xf>
    <xf numFmtId="0" fontId="39" fillId="0" borderId="10" xfId="20" applyFont="1" applyFill="1" applyBorder="1" applyAlignment="1">
      <alignment horizontal="center" vertical="center" wrapText="1"/>
    </xf>
    <xf numFmtId="0" fontId="39" fillId="0" borderId="34" xfId="20" applyFont="1" applyFill="1" applyBorder="1" applyAlignment="1">
      <alignment horizontal="center" vertical="center" wrapText="1"/>
    </xf>
    <xf numFmtId="42" fontId="39" fillId="0" borderId="10" xfId="23" applyFont="1" applyFill="1" applyBorder="1" applyAlignment="1">
      <alignment horizontal="center" vertical="center" wrapText="1"/>
    </xf>
    <xf numFmtId="42" fontId="39" fillId="0" borderId="34" xfId="23" applyFont="1" applyFill="1" applyBorder="1" applyAlignment="1">
      <alignment horizontal="center" vertical="center" wrapText="1"/>
    </xf>
    <xf numFmtId="42" fontId="39" fillId="0" borderId="25" xfId="23" applyFont="1" applyFill="1" applyBorder="1" applyAlignment="1">
      <alignment horizontal="center" vertical="center" wrapText="1"/>
    </xf>
    <xf numFmtId="42" fontId="39" fillId="0" borderId="37" xfId="23" applyFont="1" applyFill="1" applyBorder="1" applyAlignment="1">
      <alignment horizontal="center" vertical="center" wrapText="1"/>
    </xf>
    <xf numFmtId="14" fontId="39" fillId="0" borderId="10" xfId="22" applyNumberFormat="1" applyFont="1" applyFill="1" applyBorder="1" applyAlignment="1">
      <alignment horizontal="center" vertical="center" wrapText="1"/>
    </xf>
    <xf numFmtId="14" fontId="39" fillId="0" borderId="34" xfId="22" applyNumberFormat="1" applyFont="1" applyFill="1" applyBorder="1" applyAlignment="1">
      <alignment horizontal="center" vertical="center" wrapText="1"/>
    </xf>
    <xf numFmtId="42" fontId="39" fillId="0" borderId="0" xfId="23" applyFont="1" applyFill="1" applyBorder="1" applyAlignment="1">
      <alignment horizontal="center" vertical="center" wrapText="1"/>
    </xf>
    <xf numFmtId="42" fontId="39" fillId="0" borderId="38" xfId="23" applyFont="1" applyFill="1" applyBorder="1" applyAlignment="1">
      <alignment horizontal="center" vertical="center" wrapText="1"/>
    </xf>
    <xf numFmtId="0" fontId="38" fillId="5" borderId="3" xfId="20" applyFont="1" applyFill="1" applyBorder="1" applyAlignment="1">
      <alignment horizontal="center" vertical="center" wrapText="1"/>
    </xf>
    <xf numFmtId="0" fontId="38" fillId="5" borderId="10" xfId="20" applyFont="1" applyFill="1" applyBorder="1" applyAlignment="1">
      <alignment horizontal="center" vertical="center" wrapText="1"/>
    </xf>
    <xf numFmtId="0" fontId="38" fillId="5" borderId="34" xfId="20" applyFont="1" applyFill="1" applyBorder="1" applyAlignment="1">
      <alignment horizontal="center" vertical="center" wrapText="1"/>
    </xf>
    <xf numFmtId="14" fontId="42" fillId="5" borderId="3" xfId="20" applyNumberFormat="1" applyFont="1" applyFill="1" applyBorder="1" applyAlignment="1">
      <alignment horizontal="center" vertical="center" wrapText="1"/>
    </xf>
    <xf numFmtId="14" fontId="42" fillId="5" borderId="10" xfId="20" applyNumberFormat="1" applyFont="1" applyFill="1" applyBorder="1" applyAlignment="1">
      <alignment horizontal="center" vertical="center" wrapText="1"/>
    </xf>
    <xf numFmtId="14" fontId="42" fillId="5" borderId="34" xfId="20" applyNumberFormat="1" applyFont="1" applyFill="1" applyBorder="1" applyAlignment="1">
      <alignment horizontal="center" vertical="center" wrapText="1"/>
    </xf>
    <xf numFmtId="42" fontId="42" fillId="5" borderId="3" xfId="23" applyFont="1" applyFill="1" applyBorder="1" applyAlignment="1">
      <alignment horizontal="center" vertical="center" wrapText="1"/>
    </xf>
    <xf numFmtId="42" fontId="42" fillId="5" borderId="10" xfId="23" applyFont="1" applyFill="1" applyBorder="1" applyAlignment="1">
      <alignment horizontal="center" vertical="center" wrapText="1"/>
    </xf>
    <xf numFmtId="42" fontId="42" fillId="5" borderId="34" xfId="23" applyFont="1" applyFill="1" applyBorder="1" applyAlignment="1">
      <alignment horizontal="center" vertical="center" wrapText="1"/>
    </xf>
    <xf numFmtId="42" fontId="36" fillId="5" borderId="3" xfId="23" applyFont="1" applyFill="1" applyBorder="1" applyAlignment="1">
      <alignment horizontal="center" vertical="center" wrapText="1"/>
    </xf>
    <xf numFmtId="42" fontId="36" fillId="5" borderId="10" xfId="23" applyFont="1" applyFill="1" applyBorder="1" applyAlignment="1">
      <alignment horizontal="center" vertical="center" wrapText="1"/>
    </xf>
    <xf numFmtId="42" fontId="36" fillId="5" borderId="34" xfId="23" applyFont="1" applyFill="1" applyBorder="1" applyAlignment="1">
      <alignment horizontal="center" vertical="center" wrapText="1"/>
    </xf>
    <xf numFmtId="0" fontId="38" fillId="0" borderId="3" xfId="20" applyFont="1" applyFill="1" applyBorder="1" applyAlignment="1">
      <alignment horizontal="center" vertical="center" wrapText="1"/>
    </xf>
    <xf numFmtId="0" fontId="39" fillId="0" borderId="3" xfId="20" applyFont="1" applyFill="1" applyBorder="1" applyAlignment="1">
      <alignment horizontal="center" vertical="center" wrapText="1"/>
    </xf>
    <xf numFmtId="42" fontId="39" fillId="0" borderId="3" xfId="23" applyFont="1" applyFill="1" applyBorder="1" applyAlignment="1">
      <alignment horizontal="center" vertical="center" wrapText="1"/>
    </xf>
    <xf numFmtId="42" fontId="39" fillId="0" borderId="29" xfId="23" applyFont="1" applyFill="1" applyBorder="1" applyAlignment="1">
      <alignment horizontal="center" vertical="center" wrapText="1"/>
    </xf>
    <xf numFmtId="42" fontId="39" fillId="0" borderId="31" xfId="23" applyFont="1" applyFill="1" applyBorder="1" applyAlignment="1">
      <alignment horizontal="center" vertical="center" wrapText="1"/>
    </xf>
    <xf numFmtId="42" fontId="39" fillId="0" borderId="39" xfId="23" applyFont="1" applyFill="1" applyBorder="1" applyAlignment="1">
      <alignment horizontal="center" vertical="center" wrapText="1"/>
    </xf>
    <xf numFmtId="42" fontId="39" fillId="5" borderId="3" xfId="23" applyFont="1" applyFill="1" applyBorder="1" applyAlignment="1">
      <alignment horizontal="center" vertical="center" wrapText="1"/>
    </xf>
    <xf numFmtId="42" fontId="39" fillId="5" borderId="34" xfId="23" applyFont="1" applyFill="1" applyBorder="1" applyAlignment="1">
      <alignment horizontal="center" vertical="center" wrapText="1"/>
    </xf>
    <xf numFmtId="42" fontId="39" fillId="5" borderId="28" xfId="23" applyFont="1" applyFill="1" applyBorder="1" applyAlignment="1">
      <alignment horizontal="center" vertical="center" wrapText="1"/>
    </xf>
    <xf numFmtId="42" fontId="39" fillId="5" borderId="38" xfId="23" applyFont="1" applyFill="1" applyBorder="1" applyAlignment="1">
      <alignment horizontal="center" vertical="center" wrapText="1"/>
    </xf>
    <xf numFmtId="0" fontId="40" fillId="5" borderId="29" xfId="20" applyFont="1" applyFill="1" applyBorder="1" applyAlignment="1">
      <alignment horizontal="justify" vertical="center" wrapText="1"/>
    </xf>
    <xf numFmtId="0" fontId="40" fillId="5" borderId="39" xfId="20" applyFont="1" applyFill="1" applyBorder="1" applyAlignment="1">
      <alignment horizontal="justify" vertical="center" wrapText="1"/>
    </xf>
    <xf numFmtId="0" fontId="37" fillId="5" borderId="3" xfId="20" applyFont="1" applyFill="1" applyBorder="1" applyAlignment="1">
      <alignment horizontal="justify" vertical="center" wrapText="1"/>
    </xf>
    <xf numFmtId="0" fontId="37" fillId="5" borderId="10" xfId="20" applyFont="1" applyFill="1" applyBorder="1" applyAlignment="1">
      <alignment horizontal="justify" vertical="center" wrapText="1"/>
    </xf>
    <xf numFmtId="0" fontId="37" fillId="5" borderId="34" xfId="20" applyFont="1" applyFill="1" applyBorder="1" applyAlignment="1">
      <alignment horizontal="justify" vertical="center" wrapText="1"/>
    </xf>
    <xf numFmtId="0" fontId="38" fillId="5" borderId="27" xfId="20" applyFont="1" applyFill="1" applyBorder="1" applyAlignment="1">
      <alignment horizontal="center" vertical="center" wrapText="1"/>
    </xf>
    <xf numFmtId="0" fontId="38" fillId="5" borderId="37" xfId="20" applyFont="1" applyFill="1" applyBorder="1" applyAlignment="1">
      <alignment horizontal="center" vertical="center" wrapText="1"/>
    </xf>
    <xf numFmtId="14" fontId="39" fillId="5" borderId="3" xfId="20" applyNumberFormat="1" applyFont="1" applyFill="1" applyBorder="1" applyAlignment="1">
      <alignment horizontal="center" vertical="center" wrapText="1"/>
    </xf>
    <xf numFmtId="14" fontId="39" fillId="5" borderId="34" xfId="20" applyNumberFormat="1" applyFont="1" applyFill="1" applyBorder="1" applyAlignment="1">
      <alignment horizontal="center" vertical="center" wrapText="1"/>
    </xf>
    <xf numFmtId="42" fontId="39" fillId="5" borderId="27" xfId="23" applyFont="1" applyFill="1" applyBorder="1" applyAlignment="1">
      <alignment horizontal="center" vertical="center" wrapText="1"/>
    </xf>
    <xf numFmtId="42" fontId="39" fillId="5" borderId="37" xfId="23" applyFont="1" applyFill="1" applyBorder="1" applyAlignment="1">
      <alignment horizontal="center" vertical="center" wrapText="1"/>
    </xf>
    <xf numFmtId="177" fontId="39" fillId="5" borderId="3" xfId="22" applyNumberFormat="1" applyFont="1" applyFill="1" applyBorder="1" applyAlignment="1">
      <alignment horizontal="center" vertical="center" wrapText="1"/>
    </xf>
    <xf numFmtId="177" fontId="39" fillId="5" borderId="34" xfId="22" applyNumberFormat="1" applyFont="1" applyFill="1" applyBorder="1" applyAlignment="1">
      <alignment horizontal="center" vertical="center" wrapText="1"/>
    </xf>
    <xf numFmtId="0" fontId="44" fillId="0" borderId="0" xfId="20" applyFont="1" applyAlignment="1">
      <alignment horizontal="center" vertical="center" wrapText="1"/>
    </xf>
    <xf numFmtId="176" fontId="44" fillId="0" borderId="0" xfId="22" applyNumberFormat="1" applyFont="1" applyAlignment="1">
      <alignment horizontal="center" vertical="center" wrapText="1"/>
    </xf>
    <xf numFmtId="42" fontId="39" fillId="5" borderId="10" xfId="23" applyFont="1" applyFill="1" applyBorder="1" applyAlignment="1">
      <alignment horizontal="center" vertical="center" wrapText="1"/>
    </xf>
    <xf numFmtId="42" fontId="39" fillId="5" borderId="24" xfId="23" applyFont="1" applyFill="1" applyBorder="1" applyAlignment="1">
      <alignment horizontal="center" vertical="center" wrapText="1"/>
    </xf>
    <xf numFmtId="0" fontId="40" fillId="5" borderId="3" xfId="20" applyFont="1" applyFill="1" applyBorder="1" applyAlignment="1">
      <alignment horizontal="justify" vertical="center" wrapText="1"/>
    </xf>
    <xf numFmtId="0" fontId="40" fillId="5" borderId="10" xfId="20" applyFont="1" applyFill="1" applyBorder="1" applyAlignment="1">
      <alignment horizontal="justify" vertical="center" wrapText="1"/>
    </xf>
    <xf numFmtId="0" fontId="40" fillId="5" borderId="34" xfId="20" applyFont="1" applyFill="1" applyBorder="1" applyAlignment="1">
      <alignment horizontal="justify" vertical="center" wrapText="1"/>
    </xf>
    <xf numFmtId="0" fontId="39" fillId="5" borderId="3" xfId="20" applyFont="1" applyFill="1" applyBorder="1" applyAlignment="1">
      <alignment horizontal="center" vertical="center" wrapText="1"/>
    </xf>
    <xf numFmtId="0" fontId="39" fillId="5" borderId="10" xfId="20" applyFont="1" applyFill="1" applyBorder="1" applyAlignment="1">
      <alignment horizontal="center" vertical="center" wrapText="1"/>
    </xf>
    <xf numFmtId="0" fontId="39" fillId="5" borderId="34" xfId="20" applyFont="1" applyFill="1" applyBorder="1" applyAlignment="1">
      <alignment horizontal="center" vertical="center" wrapText="1"/>
    </xf>
    <xf numFmtId="42" fontId="39" fillId="5" borderId="0" xfId="23" applyFont="1" applyFill="1" applyBorder="1" applyAlignment="1">
      <alignment horizontal="center" vertical="center" wrapText="1"/>
    </xf>
    <xf numFmtId="166" fontId="49" fillId="0" borderId="13" xfId="1" applyFont="1" applyBorder="1" applyAlignment="1">
      <alignment horizontal="center"/>
    </xf>
    <xf numFmtId="166" fontId="49" fillId="0" borderId="59" xfId="1" applyFont="1" applyBorder="1" applyAlignment="1">
      <alignment horizontal="center"/>
    </xf>
    <xf numFmtId="166" fontId="49" fillId="0" borderId="12" xfId="0" applyNumberFormat="1" applyFont="1" applyFill="1" applyBorder="1" applyAlignment="1">
      <alignment horizontal="center"/>
    </xf>
    <xf numFmtId="170" fontId="51" fillId="0" borderId="14" xfId="3" applyNumberFormat="1" applyFont="1" applyFill="1" applyBorder="1" applyAlignment="1" applyProtection="1">
      <alignment horizontal="center" vertical="center"/>
      <protection locked="0"/>
    </xf>
    <xf numFmtId="170" fontId="51" fillId="0" borderId="15" xfId="3" applyNumberFormat="1" applyFont="1" applyFill="1" applyBorder="1" applyAlignment="1" applyProtection="1">
      <alignment horizontal="center" vertical="center"/>
      <protection locked="0"/>
    </xf>
    <xf numFmtId="170" fontId="51" fillId="0" borderId="8" xfId="3" applyNumberFormat="1" applyFont="1" applyFill="1" applyBorder="1" applyAlignment="1" applyProtection="1">
      <alignment horizontal="center" vertical="center"/>
      <protection locked="0"/>
    </xf>
    <xf numFmtId="0" fontId="51" fillId="0" borderId="43" xfId="0" applyNumberFormat="1" applyFont="1" applyFill="1" applyBorder="1" applyAlignment="1" applyProtection="1">
      <alignment horizontal="left" vertical="top"/>
    </xf>
    <xf numFmtId="0" fontId="51" fillId="0" borderId="44" xfId="0" applyNumberFormat="1" applyFont="1" applyFill="1" applyBorder="1" applyAlignment="1" applyProtection="1">
      <alignment horizontal="left" vertical="top"/>
    </xf>
    <xf numFmtId="0" fontId="51" fillId="0" borderId="45" xfId="0" applyNumberFormat="1" applyFont="1" applyFill="1" applyBorder="1" applyAlignment="1" applyProtection="1">
      <alignment horizontal="left" vertical="top"/>
    </xf>
    <xf numFmtId="1" fontId="50" fillId="0" borderId="16" xfId="1" applyNumberFormat="1" applyFont="1" applyBorder="1" applyAlignment="1">
      <alignment horizontal="left"/>
    </xf>
    <xf numFmtId="1" fontId="50" fillId="0" borderId="11" xfId="1" applyNumberFormat="1" applyFont="1" applyBorder="1" applyAlignment="1">
      <alignment horizontal="left"/>
    </xf>
    <xf numFmtId="1" fontId="50" fillId="0" borderId="17" xfId="1" applyNumberFormat="1" applyFont="1" applyBorder="1" applyAlignment="1">
      <alignment horizontal="left"/>
    </xf>
    <xf numFmtId="0" fontId="49" fillId="0" borderId="0" xfId="0" applyFont="1" applyAlignment="1">
      <alignment horizontal="center"/>
    </xf>
    <xf numFmtId="17" fontId="49" fillId="0" borderId="0" xfId="0" applyNumberFormat="1" applyFont="1" applyFill="1" applyAlignment="1">
      <alignment horizontal="center"/>
    </xf>
    <xf numFmtId="0" fontId="49" fillId="0" borderId="0" xfId="0" applyFont="1" applyFill="1" applyAlignment="1">
      <alignment horizontal="center"/>
    </xf>
    <xf numFmtId="166" fontId="49" fillId="0" borderId="9" xfId="1" applyFont="1" applyBorder="1" applyAlignment="1">
      <alignment horizontal="center"/>
    </xf>
    <xf numFmtId="166" fontId="49" fillId="0" borderId="16" xfId="1" applyFont="1" applyBorder="1" applyAlignment="1">
      <alignment horizontal="center"/>
    </xf>
    <xf numFmtId="166" fontId="49" fillId="0" borderId="9" xfId="0" applyNumberFormat="1" applyFont="1" applyFill="1" applyBorder="1" applyAlignment="1">
      <alignment horizontal="center"/>
    </xf>
    <xf numFmtId="0" fontId="81" fillId="0" borderId="0" xfId="40" applyFont="1" applyFill="1" applyAlignment="1">
      <alignment horizontal="center"/>
    </xf>
    <xf numFmtId="0" fontId="81" fillId="0" borderId="1" xfId="40" applyFont="1" applyFill="1" applyBorder="1" applyAlignment="1">
      <alignment horizontal="center" vertical="center"/>
    </xf>
    <xf numFmtId="0" fontId="81" fillId="0" borderId="2" xfId="40" applyFont="1" applyFill="1" applyBorder="1" applyAlignment="1">
      <alignment horizontal="center" vertical="center"/>
    </xf>
    <xf numFmtId="0" fontId="55" fillId="7" borderId="0" xfId="0" applyFont="1" applyFill="1"/>
  </cellXfs>
  <cellStyles count="45">
    <cellStyle name="Comma 2" xfId="3"/>
    <cellStyle name="Comma 2 2" xfId="41"/>
    <cellStyle name="Millares" xfId="1" builtinId="3"/>
    <cellStyle name="Millares [0]" xfId="2" builtinId="6"/>
    <cellStyle name="Millares [0] 2" xfId="42"/>
    <cellStyle name="Millares 12" xfId="4"/>
    <cellStyle name="Millares 12 2" xfId="34"/>
    <cellStyle name="Millares 12 3" xfId="43"/>
    <cellStyle name="Millares 2" xfId="5"/>
    <cellStyle name="Millares 2 2" xfId="6"/>
    <cellStyle name="Millares 2 3" xfId="7"/>
    <cellStyle name="Millares 2 4" xfId="31"/>
    <cellStyle name="Millares 3" xfId="8"/>
    <cellStyle name="Millares 4" xfId="21"/>
    <cellStyle name="Millares 4 2" xfId="32"/>
    <cellStyle name="Millares 5" xfId="9"/>
    <cellStyle name="Millares 6" xfId="26"/>
    <cellStyle name="Millares 7" xfId="28"/>
    <cellStyle name="Millares 7 2 2 2 2" xfId="10"/>
    <cellStyle name="Millares 8" xfId="35"/>
    <cellStyle name="Millares 9" xfId="39"/>
    <cellStyle name="Millares_cxc julio" xfId="11"/>
    <cellStyle name="Millares_cxc julio 2" xfId="24"/>
    <cellStyle name="Millares_PRESUPUESTO CALATRAVA2001" xfId="12"/>
    <cellStyle name="Moneda" xfId="44" builtinId="4"/>
    <cellStyle name="Moneda [0] 2" xfId="23"/>
    <cellStyle name="Moneda 2" xfId="22"/>
    <cellStyle name="Normal" xfId="0" builtinId="0"/>
    <cellStyle name="Normal 2" xfId="13"/>
    <cellStyle name="Normal 2 2" xfId="36"/>
    <cellStyle name="Normal 2 3" xfId="14"/>
    <cellStyle name="Normal 3" xfId="15"/>
    <cellStyle name="Normal 3 2" xfId="40"/>
    <cellStyle name="Normal 4" xfId="20"/>
    <cellStyle name="Normal 4 2" xfId="29"/>
    <cellStyle name="Normal 4 3" xfId="30"/>
    <cellStyle name="Normal 5" xfId="25"/>
    <cellStyle name="Normal 6" xfId="27"/>
    <cellStyle name="Normal 7" xfId="33"/>
    <cellStyle name="Normal 8" xfId="37"/>
    <cellStyle name="Normal 9" xfId="38"/>
    <cellStyle name="Normal_PRESUPUESTO CALATRAVA2001" xfId="16"/>
    <cellStyle name="Normal_PRESUPUESTO CALATRAVA2001 2" xfId="17"/>
    <cellStyle name="Porcentaje" xfId="18" builtinId="5"/>
    <cellStyle name="Porcentaje 2"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2581275</xdr:colOff>
      <xdr:row>77</xdr:row>
      <xdr:rowOff>76200</xdr:rowOff>
    </xdr:from>
    <xdr:to>
      <xdr:col>2</xdr:col>
      <xdr:colOff>361950</xdr:colOff>
      <xdr:row>79</xdr:row>
      <xdr:rowOff>142875</xdr:rowOff>
    </xdr:to>
    <xdr:pic>
      <xdr:nvPicPr>
        <xdr:cNvPr id="2" name="Imagen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81275" y="12773025"/>
          <a:ext cx="12954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2581275</xdr:colOff>
      <xdr:row>77</xdr:row>
      <xdr:rowOff>76200</xdr:rowOff>
    </xdr:from>
    <xdr:to>
      <xdr:col>2</xdr:col>
      <xdr:colOff>361950</xdr:colOff>
      <xdr:row>79</xdr:row>
      <xdr:rowOff>142875</xdr:rowOff>
    </xdr:to>
    <xdr:pic>
      <xdr:nvPicPr>
        <xdr:cNvPr id="2173" name="Imagen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81275" y="12582525"/>
          <a:ext cx="12954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428982</xdr:colOff>
      <xdr:row>0</xdr:row>
      <xdr:rowOff>219075</xdr:rowOff>
    </xdr:from>
    <xdr:to>
      <xdr:col>2</xdr:col>
      <xdr:colOff>381000</xdr:colOff>
      <xdr:row>3</xdr:row>
      <xdr:rowOff>207065</xdr:rowOff>
    </xdr:to>
    <xdr:pic>
      <xdr:nvPicPr>
        <xdr:cNvPr id="2" name="Picture 1" descr="logocovine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757" y="219075"/>
          <a:ext cx="1409343" cy="807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1159566</xdr:colOff>
      <xdr:row>74</xdr:row>
      <xdr:rowOff>124239</xdr:rowOff>
    </xdr:from>
    <xdr:to>
      <xdr:col>3</xdr:col>
      <xdr:colOff>554936</xdr:colOff>
      <xdr:row>76</xdr:row>
      <xdr:rowOff>161596</xdr:rowOff>
    </xdr:to>
    <xdr:pic>
      <xdr:nvPicPr>
        <xdr:cNvPr id="3" name="2 Imagen"/>
        <xdr:cNvPicPr/>
      </xdr:nvPicPr>
      <xdr:blipFill>
        <a:blip xmlns:r="http://schemas.openxmlformats.org/officeDocument/2006/relationships" r:embed="rId2" cstate="print"/>
        <a:srcRect/>
        <a:stretch>
          <a:fillRect/>
        </a:stretch>
      </xdr:blipFill>
      <xdr:spPr bwMode="auto">
        <a:xfrm>
          <a:off x="1264341" y="16478664"/>
          <a:ext cx="1319420" cy="418357"/>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CONJ%20NOGALES%20DE%20LA%20COLINA%20USB\FACTUR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NJ%20NOGALES%20DE%20LA%20COLINA%20USB/FACTUR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rchivos%20de%20Trabajo/Mis%20documentos/CONJ%20NOGALES%20DE%20LA%20COLINA/ASAMBLEA%202020%20NOGALES%20DE%20LA%20COLI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GALES"/>
      <sheetName val="bce dic01"/>
      <sheetName val="pyg dic01"/>
      <sheetName val="BCE DIC"/>
      <sheetName val="PRESUP OCT"/>
      <sheetName val="BCE OCT"/>
      <sheetName val="CARTERA"/>
      <sheetName val="PYG INICIAL"/>
      <sheetName val="BCE INICIAL"/>
      <sheetName val="Hoja1"/>
    </sheetNames>
    <sheetDataSet>
      <sheetData sheetId="0"/>
      <sheetData sheetId="1"/>
      <sheetData sheetId="2"/>
      <sheetData sheetId="3"/>
      <sheetData sheetId="4"/>
      <sheetData sheetId="5"/>
      <sheetData sheetId="6" refreshError="1"/>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GALES"/>
      <sheetName val="bce dic01"/>
      <sheetName val="pyg dic01"/>
      <sheetName val="BCE DIC"/>
      <sheetName val="PRESUP OCT"/>
      <sheetName val="BCE OCT"/>
      <sheetName val="CARTERA"/>
      <sheetName val="PYG INICIAL"/>
      <sheetName val="BCE INICIAL"/>
      <sheetName val="Hoja1"/>
    </sheetNames>
    <sheetDataSet>
      <sheetData sheetId="0"/>
      <sheetData sheetId="1"/>
      <sheetData sheetId="2"/>
      <sheetData sheetId="3"/>
      <sheetData sheetId="4"/>
      <sheetData sheetId="5"/>
      <sheetData sheetId="6" refreshError="1"/>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
      <sheetName val="nota (2)"/>
      <sheetName val="present"/>
      <sheetName val="pyg comp (2)"/>
      <sheetName val="comp (2)"/>
      <sheetName val="comp"/>
      <sheetName val="dic19"/>
      <sheetName val="pyg comp"/>
      <sheetName val="ejec19"/>
      <sheetName val="nota"/>
      <sheetName val="grafic"/>
      <sheetName val="cxc19"/>
      <sheetName val="efectiv"/>
      <sheetName val="otrosing"/>
      <sheetName val="cxc19 (2)"/>
      <sheetName val="EST CAMBIO"/>
      <sheetName val="EST CAMBIO (2)"/>
    </sheetNames>
    <sheetDataSet>
      <sheetData sheetId="0"/>
      <sheetData sheetId="1"/>
      <sheetData sheetId="2"/>
      <sheetData sheetId="3"/>
      <sheetData sheetId="4">
        <row r="17">
          <cell r="C17">
            <v>75083344</v>
          </cell>
        </row>
        <row r="18">
          <cell r="C18">
            <v>3610200</v>
          </cell>
        </row>
        <row r="19">
          <cell r="C19">
            <v>2740800</v>
          </cell>
        </row>
        <row r="20">
          <cell r="C20">
            <v>2797900</v>
          </cell>
        </row>
      </sheetData>
      <sheetData sheetId="5"/>
      <sheetData sheetId="6">
        <row r="21">
          <cell r="B21">
            <v>-33680235</v>
          </cell>
          <cell r="C21">
            <v>-33680235</v>
          </cell>
        </row>
        <row r="26">
          <cell r="B26">
            <v>2200000</v>
          </cell>
        </row>
        <row r="27">
          <cell r="B27">
            <v>16403481</v>
          </cell>
        </row>
        <row r="28">
          <cell r="B28">
            <v>1767000</v>
          </cell>
        </row>
        <row r="29">
          <cell r="B29">
            <v>-20370481</v>
          </cell>
        </row>
        <row r="39">
          <cell r="A39" t="str">
            <v>Asistente Administrativa</v>
          </cell>
        </row>
        <row r="46">
          <cell r="A46" t="str">
            <v>Mant locativos</v>
          </cell>
        </row>
        <row r="54">
          <cell r="A54" t="str">
            <v>Fondo para Mant Sótanos</v>
          </cell>
        </row>
        <row r="56">
          <cell r="A56" t="str">
            <v>Fondo para Remodelacion Recepcion</v>
          </cell>
        </row>
        <row r="57">
          <cell r="A57" t="str">
            <v>Fondos con Destinacion Específica</v>
          </cell>
        </row>
        <row r="59">
          <cell r="A59" t="str">
            <v>Resultados ejercicios anteriores</v>
          </cell>
        </row>
      </sheetData>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3"/>
  <sheetViews>
    <sheetView topLeftCell="A45" workbookViewId="0">
      <selection activeCell="I61" sqref="I61"/>
    </sheetView>
  </sheetViews>
  <sheetFormatPr baseColWidth="10" defaultColWidth="8.85546875" defaultRowHeight="12.75"/>
  <cols>
    <col min="1" max="1" width="39.42578125" style="18" customWidth="1"/>
    <col min="2" max="3" width="13.28515625" style="6" customWidth="1"/>
    <col min="4" max="4" width="12.7109375" style="6" customWidth="1"/>
    <col min="5" max="5" width="7.28515625" style="6" customWidth="1"/>
    <col min="6" max="6" width="6.85546875" style="6" customWidth="1"/>
    <col min="7" max="7" width="15.140625" style="4" bestFit="1" customWidth="1"/>
    <col min="8" max="8" width="14.28515625" style="4" customWidth="1"/>
    <col min="9" max="9" width="11.28515625" style="4" bestFit="1" customWidth="1"/>
    <col min="10" max="10" width="13.42578125" style="4" bestFit="1" customWidth="1"/>
    <col min="11" max="16384" width="8.85546875" style="4"/>
  </cols>
  <sheetData>
    <row r="1" spans="1:7">
      <c r="A1" s="855" t="s">
        <v>49</v>
      </c>
      <c r="B1" s="855"/>
      <c r="C1" s="855"/>
      <c r="D1" s="855"/>
      <c r="E1" s="855"/>
    </row>
    <row r="2" spans="1:7">
      <c r="A2" s="855" t="s">
        <v>50</v>
      </c>
      <c r="B2" s="855"/>
      <c r="C2" s="855"/>
      <c r="D2" s="855"/>
      <c r="E2" s="855"/>
    </row>
    <row r="3" spans="1:7">
      <c r="A3" s="855" t="s">
        <v>366</v>
      </c>
      <c r="B3" s="855"/>
      <c r="C3" s="855"/>
      <c r="D3" s="855"/>
      <c r="E3" s="855"/>
    </row>
    <row r="4" spans="1:7">
      <c r="A4" s="855" t="s">
        <v>52</v>
      </c>
      <c r="B4" s="855"/>
      <c r="C4" s="855"/>
      <c r="D4" s="855"/>
      <c r="E4" s="855"/>
    </row>
    <row r="5" spans="1:7">
      <c r="A5" s="50" t="s">
        <v>0</v>
      </c>
      <c r="B5" s="51">
        <v>43586</v>
      </c>
      <c r="C5" s="51">
        <v>43556</v>
      </c>
      <c r="D5" s="52" t="s">
        <v>53</v>
      </c>
      <c r="E5" s="52" t="s">
        <v>17</v>
      </c>
    </row>
    <row r="6" spans="1:7" ht="27.75" customHeight="1">
      <c r="A6" s="68" t="s">
        <v>54</v>
      </c>
      <c r="B6" s="53"/>
      <c r="C6" s="53"/>
      <c r="D6" s="54"/>
      <c r="E6" s="54"/>
    </row>
    <row r="7" spans="1:7">
      <c r="A7" s="55" t="s">
        <v>55</v>
      </c>
      <c r="B7" s="56">
        <f>+B8+B9</f>
        <v>31697079.18</v>
      </c>
      <c r="C7" s="56">
        <f>+C8+C9</f>
        <v>89836429.180000305</v>
      </c>
      <c r="D7" s="56">
        <f t="shared" ref="D7:D12" si="0">+B7-C7</f>
        <v>-58139350.000000305</v>
      </c>
      <c r="E7" s="58">
        <f>+B7/C7-1</f>
        <v>-0.64716897733668477</v>
      </c>
      <c r="F7" s="46"/>
      <c r="G7" s="111"/>
    </row>
    <row r="8" spans="1:7">
      <c r="A8" s="59" t="s">
        <v>56</v>
      </c>
      <c r="B8" s="57">
        <v>600000</v>
      </c>
      <c r="C8" s="57">
        <v>600000</v>
      </c>
      <c r="D8" s="57">
        <f t="shared" si="0"/>
        <v>0</v>
      </c>
      <c r="E8" s="58">
        <f>+D8/C8</f>
        <v>0</v>
      </c>
    </row>
    <row r="9" spans="1:7">
      <c r="A9" s="59" t="s">
        <v>57</v>
      </c>
      <c r="B9" s="107">
        <v>31097079.18</v>
      </c>
      <c r="C9" s="107">
        <v>89236429.180000305</v>
      </c>
      <c r="D9" s="57">
        <f t="shared" si="0"/>
        <v>-58139350.000000305</v>
      </c>
      <c r="E9" s="58">
        <f>+D9/C9</f>
        <v>-0.6515203547950853</v>
      </c>
    </row>
    <row r="10" spans="1:7">
      <c r="A10" s="55" t="s">
        <v>58</v>
      </c>
      <c r="B10" s="56">
        <f>SUM(B11:B12)</f>
        <v>99411214.530000001</v>
      </c>
      <c r="C10" s="56">
        <f>SUM(C11:C12)</f>
        <v>99409135.359999999</v>
      </c>
      <c r="D10" s="56">
        <f t="shared" si="0"/>
        <v>2079.1700000017881</v>
      </c>
      <c r="E10" s="58">
        <f>+B10/C10-1</f>
        <v>2.0915280999789232E-5</v>
      </c>
    </row>
    <row r="11" spans="1:7">
      <c r="A11" s="59" t="s">
        <v>59</v>
      </c>
      <c r="B11" s="107">
        <v>70271342.769999996</v>
      </c>
      <c r="C11" s="107">
        <v>70269263.599999994</v>
      </c>
      <c r="D11" s="57">
        <f t="shared" si="0"/>
        <v>2079.1700000017881</v>
      </c>
      <c r="E11" s="58">
        <f>+B11/C11-1</f>
        <v>2.9588612338926623E-5</v>
      </c>
    </row>
    <row r="12" spans="1:7">
      <c r="A12" s="59" t="s">
        <v>60</v>
      </c>
      <c r="B12" s="80">
        <v>29139871.760000002</v>
      </c>
      <c r="C12" s="80">
        <v>29139871.760000002</v>
      </c>
      <c r="D12" s="57">
        <f t="shared" si="0"/>
        <v>0</v>
      </c>
      <c r="E12" s="58">
        <f>+B12/C12-1</f>
        <v>0</v>
      </c>
    </row>
    <row r="13" spans="1:7">
      <c r="A13" s="22"/>
      <c r="B13" s="61"/>
      <c r="C13" s="61"/>
      <c r="D13" s="61"/>
      <c r="E13" s="22"/>
      <c r="F13" s="4"/>
    </row>
    <row r="14" spans="1:7">
      <c r="A14" s="55" t="s">
        <v>61</v>
      </c>
      <c r="B14" s="62">
        <f>SUM(B15:B24)</f>
        <v>80651188</v>
      </c>
      <c r="C14" s="62">
        <f>SUM(C15:C24)</f>
        <v>76050324</v>
      </c>
      <c r="D14" s="56">
        <f>SUM(D15:D24)</f>
        <v>4600864</v>
      </c>
      <c r="E14" s="58">
        <f>+B14/C14-1</f>
        <v>6.049762523036728E-2</v>
      </c>
      <c r="F14" s="45"/>
      <c r="G14" s="112"/>
    </row>
    <row r="15" spans="1:7">
      <c r="A15" s="59" t="s">
        <v>62</v>
      </c>
      <c r="B15" s="109">
        <v>65777681</v>
      </c>
      <c r="C15" s="109">
        <v>61748867</v>
      </c>
      <c r="D15" s="57">
        <f>+B15-C15</f>
        <v>4028814</v>
      </c>
      <c r="E15" s="58">
        <f>+D15/C15</f>
        <v>6.5245148546612203E-2</v>
      </c>
    </row>
    <row r="16" spans="1:7">
      <c r="A16" s="59" t="s">
        <v>63</v>
      </c>
      <c r="B16" s="109">
        <v>5870400</v>
      </c>
      <c r="C16" s="109">
        <v>6331950</v>
      </c>
      <c r="D16" s="57">
        <f>+B16-C16</f>
        <v>-461550</v>
      </c>
      <c r="E16" s="58">
        <f t="shared" ref="E16:E24" si="1">+D16/C16</f>
        <v>-7.2892236988605405E-2</v>
      </c>
    </row>
    <row r="17" spans="1:7">
      <c r="A17" s="59" t="s">
        <v>148</v>
      </c>
      <c r="B17" s="108">
        <v>4000</v>
      </c>
      <c r="C17" s="108">
        <v>4000</v>
      </c>
      <c r="D17" s="57">
        <f>+B17-C17</f>
        <v>0</v>
      </c>
      <c r="E17" s="58">
        <f t="shared" si="1"/>
        <v>0</v>
      </c>
    </row>
    <row r="18" spans="1:7">
      <c r="A18" s="59" t="s">
        <v>14</v>
      </c>
      <c r="B18" s="109">
        <v>807350</v>
      </c>
      <c r="C18" s="109">
        <v>455850</v>
      </c>
      <c r="D18" s="57">
        <f t="shared" ref="D18:D25" si="2">+B18-C18</f>
        <v>351500</v>
      </c>
      <c r="E18" s="58">
        <f t="shared" si="1"/>
        <v>0.7710869803663486</v>
      </c>
    </row>
    <row r="19" spans="1:7">
      <c r="A19" s="63" t="s">
        <v>149</v>
      </c>
      <c r="B19" s="109">
        <v>1007350</v>
      </c>
      <c r="C19" s="109">
        <v>174300</v>
      </c>
      <c r="D19" s="57">
        <f t="shared" si="2"/>
        <v>833050</v>
      </c>
      <c r="E19" s="58">
        <f t="shared" si="1"/>
        <v>4.779403327596099</v>
      </c>
    </row>
    <row r="20" spans="1:7">
      <c r="A20" s="63" t="s">
        <v>64</v>
      </c>
      <c r="B20" s="109">
        <v>338000</v>
      </c>
      <c r="C20" s="109">
        <v>178000</v>
      </c>
      <c r="D20" s="57">
        <f t="shared" si="2"/>
        <v>160000</v>
      </c>
      <c r="E20" s="58">
        <f t="shared" si="1"/>
        <v>0.898876404494382</v>
      </c>
    </row>
    <row r="21" spans="1:7">
      <c r="A21" s="63" t="s">
        <v>161</v>
      </c>
      <c r="B21" s="109">
        <v>2052083</v>
      </c>
      <c r="C21" s="109">
        <v>2135033</v>
      </c>
      <c r="D21" s="57">
        <f t="shared" si="2"/>
        <v>-82950</v>
      </c>
      <c r="E21" s="58">
        <f t="shared" si="1"/>
        <v>-3.8851858495863999E-2</v>
      </c>
    </row>
    <row r="22" spans="1:7">
      <c r="A22" s="59" t="s">
        <v>159</v>
      </c>
      <c r="B22" s="109">
        <v>58300</v>
      </c>
      <c r="C22" s="109">
        <v>718380</v>
      </c>
      <c r="D22" s="57">
        <f t="shared" si="2"/>
        <v>-660080</v>
      </c>
      <c r="E22" s="58">
        <f t="shared" si="1"/>
        <v>-0.91884517943149868</v>
      </c>
    </row>
    <row r="23" spans="1:7">
      <c r="A23" s="59" t="s">
        <v>65</v>
      </c>
      <c r="B23" s="109">
        <v>8593300</v>
      </c>
      <c r="C23" s="109">
        <v>8870500</v>
      </c>
      <c r="D23" s="57">
        <f t="shared" si="2"/>
        <v>-277200</v>
      </c>
      <c r="E23" s="58">
        <f t="shared" si="1"/>
        <v>-3.1249647708697367E-2</v>
      </c>
      <c r="F23" s="11"/>
    </row>
    <row r="24" spans="1:7">
      <c r="A24" s="59" t="s">
        <v>66</v>
      </c>
      <c r="B24" s="109">
        <v>-3857276</v>
      </c>
      <c r="C24" s="109">
        <v>-4566556</v>
      </c>
      <c r="D24" s="57">
        <f t="shared" si="2"/>
        <v>709280</v>
      </c>
      <c r="E24" s="58">
        <f t="shared" si="1"/>
        <v>-0.15532055229367603</v>
      </c>
    </row>
    <row r="25" spans="1:7">
      <c r="A25" s="55" t="s">
        <v>67</v>
      </c>
      <c r="B25" s="65">
        <v>-33680235</v>
      </c>
      <c r="C25" s="65">
        <v>-33680235</v>
      </c>
      <c r="D25" s="56">
        <f t="shared" si="2"/>
        <v>0</v>
      </c>
      <c r="E25" s="58">
        <f>+B25/C25-1</f>
        <v>0</v>
      </c>
    </row>
    <row r="26" spans="1:7">
      <c r="A26" s="22"/>
      <c r="B26" s="61"/>
      <c r="C26" s="61"/>
      <c r="D26" s="61"/>
      <c r="E26" s="22"/>
      <c r="F26" s="4"/>
    </row>
    <row r="27" spans="1:7">
      <c r="A27" s="55" t="s">
        <v>68</v>
      </c>
      <c r="B27" s="56">
        <f>SUM(B28:B29)</f>
        <v>8339500</v>
      </c>
      <c r="C27" s="56">
        <f>SUM(C28:C29)</f>
        <v>9440250</v>
      </c>
      <c r="D27" s="56">
        <f>+B27-C27</f>
        <v>-1100750</v>
      </c>
      <c r="E27" s="58">
        <f>+B27/C27-1</f>
        <v>-0.11660178491035722</v>
      </c>
    </row>
    <row r="28" spans="1:7">
      <c r="A28" s="59" t="s">
        <v>69</v>
      </c>
      <c r="B28" s="57">
        <v>2897500</v>
      </c>
      <c r="C28" s="57">
        <v>2897500</v>
      </c>
      <c r="D28" s="57">
        <f>+B28-C28</f>
        <v>0</v>
      </c>
      <c r="E28" s="58">
        <v>0</v>
      </c>
    </row>
    <row r="29" spans="1:7">
      <c r="A29" s="59" t="s">
        <v>70</v>
      </c>
      <c r="B29" s="107">
        <v>5442000</v>
      </c>
      <c r="C29" s="107">
        <f>7700750-1158000</f>
        <v>6542750</v>
      </c>
      <c r="D29" s="57">
        <f>+B29-C29</f>
        <v>-1100750</v>
      </c>
      <c r="E29" s="58">
        <v>0</v>
      </c>
    </row>
    <row r="30" spans="1:7">
      <c r="A30" s="68" t="s">
        <v>71</v>
      </c>
      <c r="B30" s="56">
        <f>+B7+B10+B14+B27+B25</f>
        <v>186418746.71000001</v>
      </c>
      <c r="C30" s="56">
        <f>+C7+C10+C14+C27+C25</f>
        <v>241055903.54000032</v>
      </c>
      <c r="D30" s="56">
        <f>+D7+D10+D14+D27+D25</f>
        <v>-54637156.830000304</v>
      </c>
      <c r="E30" s="66">
        <f>+B30/C30-1</f>
        <v>-0.22665761770457504</v>
      </c>
      <c r="F30" s="78"/>
      <c r="G30" s="48"/>
    </row>
    <row r="31" spans="1:7">
      <c r="A31" s="22"/>
      <c r="B31" s="61"/>
      <c r="C31" s="61"/>
      <c r="D31" s="61"/>
      <c r="E31" s="22"/>
      <c r="F31" s="4"/>
    </row>
    <row r="32" spans="1:7">
      <c r="A32" s="68" t="s">
        <v>72</v>
      </c>
      <c r="B32" s="57"/>
      <c r="C32" s="57"/>
      <c r="D32" s="57"/>
      <c r="E32" s="58"/>
    </row>
    <row r="33" spans="1:8">
      <c r="A33" s="59" t="s">
        <v>2</v>
      </c>
      <c r="B33" s="56">
        <f>SUM(B34:B37)</f>
        <v>0</v>
      </c>
      <c r="C33" s="56">
        <f>SUM(C34:C37)</f>
        <v>0</v>
      </c>
      <c r="D33" s="57">
        <f>SUM(D34:D37)</f>
        <v>0</v>
      </c>
      <c r="E33" s="58">
        <v>0</v>
      </c>
    </row>
    <row r="34" spans="1:8">
      <c r="A34" s="59" t="s">
        <v>73</v>
      </c>
      <c r="B34" s="57">
        <v>2200000</v>
      </c>
      <c r="C34" s="57">
        <v>2200000</v>
      </c>
      <c r="D34" s="57">
        <f>+B34-C34</f>
        <v>0</v>
      </c>
      <c r="E34" s="58">
        <f>+D34/C34</f>
        <v>0</v>
      </c>
    </row>
    <row r="35" spans="1:8">
      <c r="A35" s="59" t="s">
        <v>74</v>
      </c>
      <c r="B35" s="57">
        <f>10214405+126105</f>
        <v>10340510</v>
      </c>
      <c r="C35" s="57">
        <f>10214405+126105</f>
        <v>10340510</v>
      </c>
      <c r="D35" s="57">
        <f>+B35-C35</f>
        <v>0</v>
      </c>
      <c r="E35" s="58">
        <f>+D35/C35</f>
        <v>0</v>
      </c>
    </row>
    <row r="36" spans="1:8">
      <c r="A36" s="59" t="s">
        <v>75</v>
      </c>
      <c r="B36" s="57">
        <v>1767000</v>
      </c>
      <c r="C36" s="57">
        <v>1767000</v>
      </c>
      <c r="D36" s="57">
        <f>+B36-C36</f>
        <v>0</v>
      </c>
      <c r="E36" s="58">
        <f>+D36/C36</f>
        <v>0</v>
      </c>
    </row>
    <row r="37" spans="1:8">
      <c r="A37" s="59" t="s">
        <v>76</v>
      </c>
      <c r="B37" s="57">
        <f>-14181405-126105</f>
        <v>-14307510</v>
      </c>
      <c r="C37" s="57">
        <f>-14181405-126105</f>
        <v>-14307510</v>
      </c>
      <c r="D37" s="57">
        <f>+B37-C37</f>
        <v>0</v>
      </c>
      <c r="E37" s="58">
        <f>+B37/C37-1</f>
        <v>0</v>
      </c>
    </row>
    <row r="38" spans="1:8">
      <c r="A38" s="22"/>
      <c r="B38" s="61"/>
      <c r="C38" s="61"/>
      <c r="D38" s="61"/>
      <c r="E38" s="22"/>
      <c r="F38" s="4"/>
    </row>
    <row r="39" spans="1:8">
      <c r="A39" s="59" t="s">
        <v>77</v>
      </c>
      <c r="B39" s="56">
        <f>SUM(B40:B40)</f>
        <v>5859776</v>
      </c>
      <c r="C39" s="56">
        <f>SUM(C40:C40)</f>
        <v>9058460</v>
      </c>
      <c r="D39" s="57">
        <f>SUM(D40:D40)</f>
        <v>-3198684</v>
      </c>
      <c r="E39" s="58">
        <f>+B39/C39-1</f>
        <v>-0.35311565100469611</v>
      </c>
    </row>
    <row r="40" spans="1:8" ht="14.45" customHeight="1">
      <c r="A40" s="59" t="s">
        <v>78</v>
      </c>
      <c r="B40" s="110">
        <v>5859776</v>
      </c>
      <c r="C40" s="110">
        <v>9058460</v>
      </c>
      <c r="D40" s="57">
        <f>+B40-C40</f>
        <v>-3198684</v>
      </c>
      <c r="E40" s="58">
        <f>+B40/C40-1</f>
        <v>-0.35311565100469611</v>
      </c>
    </row>
    <row r="41" spans="1:8">
      <c r="A41" s="68" t="s">
        <v>79</v>
      </c>
      <c r="B41" s="56">
        <f>+B33+B39</f>
        <v>5859776</v>
      </c>
      <c r="C41" s="56">
        <f>+C33+C39</f>
        <v>9058460</v>
      </c>
      <c r="D41" s="56">
        <f>+D33+D37+D39</f>
        <v>-3198684</v>
      </c>
      <c r="E41" s="67">
        <f>+E33+E37+E39</f>
        <v>-0.35311565100469611</v>
      </c>
    </row>
    <row r="42" spans="1:8">
      <c r="A42" s="22"/>
      <c r="B42" s="61"/>
      <c r="C42" s="61"/>
      <c r="D42" s="61"/>
      <c r="E42" s="22"/>
      <c r="F42" s="4"/>
      <c r="G42" s="111"/>
    </row>
    <row r="43" spans="1:8">
      <c r="A43" s="99" t="s">
        <v>3</v>
      </c>
      <c r="B43" s="56">
        <f>+B30+B41</f>
        <v>192278522.71000001</v>
      </c>
      <c r="C43" s="56">
        <f>+C30+C41</f>
        <v>250114363.54000032</v>
      </c>
      <c r="D43" s="56">
        <f>+D7+D10+D14+D25+D27+D33+D37+D39</f>
        <v>-57835840.830000304</v>
      </c>
      <c r="E43" s="58">
        <f>+B43/C43-1</f>
        <v>-0.23123758272583472</v>
      </c>
      <c r="F43" s="78"/>
      <c r="G43" s="48"/>
      <c r="H43" s="48"/>
    </row>
    <row r="44" spans="1:8">
      <c r="A44" s="22"/>
      <c r="B44" s="61"/>
      <c r="C44" s="61"/>
      <c r="D44" s="61"/>
      <c r="E44" s="22"/>
      <c r="F44" s="4"/>
      <c r="G44" s="48"/>
    </row>
    <row r="45" spans="1:8">
      <c r="A45" s="68" t="s">
        <v>4</v>
      </c>
      <c r="B45" s="64"/>
      <c r="C45" s="64"/>
      <c r="D45" s="57"/>
      <c r="E45" s="58"/>
    </row>
    <row r="46" spans="1:8">
      <c r="A46" s="68" t="s">
        <v>80</v>
      </c>
      <c r="B46" s="64"/>
      <c r="C46" s="64"/>
      <c r="D46" s="57"/>
      <c r="E46" s="58"/>
    </row>
    <row r="47" spans="1:8">
      <c r="A47" s="69" t="s">
        <v>5</v>
      </c>
      <c r="B47" s="81">
        <f>SUM(B48:B61)</f>
        <v>3176201</v>
      </c>
      <c r="C47" s="81">
        <f>SUM(C48:C61)</f>
        <v>59434276</v>
      </c>
      <c r="D47" s="81">
        <f>SUM(D48:D61)</f>
        <v>-56258075</v>
      </c>
      <c r="E47" s="58">
        <f>+B47/C47-1</f>
        <v>-0.94655943987607416</v>
      </c>
      <c r="F47" s="45"/>
      <c r="G47" s="112"/>
      <c r="H47" s="112"/>
    </row>
    <row r="48" spans="1:8">
      <c r="A48" s="54" t="s">
        <v>81</v>
      </c>
      <c r="B48" s="109">
        <v>0</v>
      </c>
      <c r="C48" s="109">
        <v>4988000</v>
      </c>
      <c r="D48" s="57">
        <f t="shared" ref="D48:D61" si="3">+B48-C48</f>
        <v>-4988000</v>
      </c>
      <c r="E48" s="58">
        <f t="shared" ref="E48:E53" si="4">+B48/C48-1</f>
        <v>-1</v>
      </c>
    </row>
    <row r="49" spans="1:5">
      <c r="A49" s="59" t="s">
        <v>6</v>
      </c>
      <c r="B49" s="109">
        <v>945179</v>
      </c>
      <c r="C49" s="109">
        <v>1194129</v>
      </c>
      <c r="D49" s="57">
        <f t="shared" si="3"/>
        <v>-248950</v>
      </c>
      <c r="E49" s="58">
        <f t="shared" si="4"/>
        <v>-0.20847831348204426</v>
      </c>
    </row>
    <row r="50" spans="1:5">
      <c r="A50" s="59" t="s">
        <v>82</v>
      </c>
      <c r="B50" s="109">
        <v>563842</v>
      </c>
      <c r="C50" s="109">
        <v>266946</v>
      </c>
      <c r="D50" s="57">
        <f t="shared" si="3"/>
        <v>296896</v>
      </c>
      <c r="E50" s="58">
        <f t="shared" si="4"/>
        <v>1.1121949757628884</v>
      </c>
    </row>
    <row r="51" spans="1:5">
      <c r="A51" s="59" t="s">
        <v>83</v>
      </c>
      <c r="B51" s="109">
        <v>0</v>
      </c>
      <c r="C51" s="109">
        <v>39585798</v>
      </c>
      <c r="D51" s="57">
        <f t="shared" si="3"/>
        <v>-39585798</v>
      </c>
      <c r="E51" s="58">
        <v>1</v>
      </c>
    </row>
    <row r="52" spans="1:5">
      <c r="A52" s="59" t="s">
        <v>84</v>
      </c>
      <c r="B52" s="109">
        <v>0</v>
      </c>
      <c r="C52" s="109">
        <v>1746717</v>
      </c>
      <c r="D52" s="57">
        <f t="shared" si="3"/>
        <v>-1746717</v>
      </c>
      <c r="E52" s="58">
        <f t="shared" si="4"/>
        <v>-1</v>
      </c>
    </row>
    <row r="53" spans="1:5">
      <c r="A53" s="59" t="s">
        <v>85</v>
      </c>
      <c r="B53" s="109">
        <v>0</v>
      </c>
      <c r="C53" s="109">
        <v>7367664</v>
      </c>
      <c r="D53" s="57">
        <f t="shared" si="3"/>
        <v>-7367664</v>
      </c>
      <c r="E53" s="58">
        <f t="shared" si="4"/>
        <v>-1</v>
      </c>
    </row>
    <row r="54" spans="1:5">
      <c r="A54" s="27" t="s">
        <v>86</v>
      </c>
      <c r="B54" s="109">
        <v>0</v>
      </c>
      <c r="C54" s="109">
        <v>511980</v>
      </c>
      <c r="D54" s="57">
        <f t="shared" si="3"/>
        <v>-511980</v>
      </c>
      <c r="E54" s="58">
        <v>1</v>
      </c>
    </row>
    <row r="55" spans="1:5">
      <c r="A55" s="59" t="s">
        <v>160</v>
      </c>
      <c r="B55" s="109">
        <v>0</v>
      </c>
      <c r="C55" s="109">
        <v>225362</v>
      </c>
      <c r="D55" s="57">
        <f>+B55-C55</f>
        <v>-225362</v>
      </c>
      <c r="E55" s="58">
        <v>1</v>
      </c>
    </row>
    <row r="56" spans="1:5">
      <c r="A56" s="59" t="s">
        <v>187</v>
      </c>
      <c r="B56" s="109">
        <v>1130500</v>
      </c>
      <c r="C56" s="109">
        <v>950000</v>
      </c>
      <c r="D56" s="57">
        <f>+B56-C56</f>
        <v>180500</v>
      </c>
      <c r="E56" s="58">
        <v>1</v>
      </c>
    </row>
    <row r="57" spans="1:5">
      <c r="A57" s="59" t="s">
        <v>87</v>
      </c>
      <c r="B57" s="109">
        <v>116680</v>
      </c>
      <c r="C57" s="109">
        <f>116680+394800</f>
        <v>511480</v>
      </c>
      <c r="D57" s="57">
        <f t="shared" si="3"/>
        <v>-394800</v>
      </c>
      <c r="E57" s="58">
        <v>1</v>
      </c>
    </row>
    <row r="58" spans="1:5">
      <c r="A58" s="59" t="s">
        <v>177</v>
      </c>
      <c r="B58" s="109">
        <v>0</v>
      </c>
      <c r="C58" s="109">
        <v>0</v>
      </c>
      <c r="D58" s="57">
        <f t="shared" si="3"/>
        <v>0</v>
      </c>
      <c r="E58" s="58">
        <v>1</v>
      </c>
    </row>
    <row r="59" spans="1:5">
      <c r="A59" s="59" t="s">
        <v>172</v>
      </c>
      <c r="B59" s="109">
        <v>420000</v>
      </c>
      <c r="C59" s="109">
        <f>2123960-50000+12240</f>
        <v>2086200</v>
      </c>
      <c r="D59" s="57">
        <f t="shared" si="3"/>
        <v>-1666200</v>
      </c>
      <c r="E59" s="58">
        <v>1</v>
      </c>
    </row>
    <row r="60" spans="1:5">
      <c r="A60" s="59" t="s">
        <v>173</v>
      </c>
      <c r="B60" s="83">
        <v>0</v>
      </c>
      <c r="C60" s="83"/>
      <c r="D60" s="57">
        <f t="shared" si="3"/>
        <v>0</v>
      </c>
      <c r="E60" s="58"/>
    </row>
    <row r="61" spans="1:5">
      <c r="A61" s="59" t="s">
        <v>178</v>
      </c>
      <c r="B61" s="83">
        <v>0</v>
      </c>
      <c r="C61" s="83"/>
      <c r="D61" s="57">
        <f t="shared" si="3"/>
        <v>0</v>
      </c>
      <c r="E61" s="58"/>
    </row>
    <row r="62" spans="1:5">
      <c r="A62" s="69" t="s">
        <v>88</v>
      </c>
      <c r="B62" s="81">
        <f>+B63</f>
        <v>5160354</v>
      </c>
      <c r="C62" s="81">
        <f>+C63</f>
        <v>5340096</v>
      </c>
      <c r="D62" s="56">
        <f>+B62-C62</f>
        <v>-179742</v>
      </c>
      <c r="E62" s="58">
        <f>+B62/C62-1</f>
        <v>-3.3658945457160305E-2</v>
      </c>
    </row>
    <row r="63" spans="1:5">
      <c r="A63" s="59" t="s">
        <v>62</v>
      </c>
      <c r="B63" s="109">
        <v>5160354</v>
      </c>
      <c r="C63" s="109">
        <v>5340096</v>
      </c>
      <c r="D63" s="57">
        <f>+B63-C63</f>
        <v>-179742</v>
      </c>
      <c r="E63" s="58">
        <f>+D63/C63</f>
        <v>-3.3658945457160319E-2</v>
      </c>
    </row>
    <row r="64" spans="1:5">
      <c r="A64" s="59"/>
      <c r="B64" s="82"/>
      <c r="C64" s="82"/>
      <c r="D64" s="57"/>
      <c r="E64" s="58"/>
    </row>
    <row r="65" spans="1:10">
      <c r="A65" s="59" t="s">
        <v>89</v>
      </c>
      <c r="B65" s="109">
        <v>1064806</v>
      </c>
      <c r="C65" s="109">
        <v>2744804</v>
      </c>
      <c r="D65" s="57">
        <f>+B65-C65</f>
        <v>-1679998</v>
      </c>
      <c r="E65" s="58">
        <f>+D65/C65</f>
        <v>-0.61206483231589581</v>
      </c>
    </row>
    <row r="66" spans="1:10">
      <c r="A66" s="68" t="s">
        <v>90</v>
      </c>
      <c r="B66" s="81">
        <f>+B47+B62+B65</f>
        <v>9401361</v>
      </c>
      <c r="C66" s="81">
        <f>+C47+C62+C65</f>
        <v>67519176</v>
      </c>
      <c r="D66" s="56">
        <f>+B66-C66</f>
        <v>-58117815</v>
      </c>
      <c r="E66" s="58">
        <f>+B66/C66-1</f>
        <v>-0.86076013427652021</v>
      </c>
    </row>
    <row r="67" spans="1:10">
      <c r="A67" s="99" t="s">
        <v>7</v>
      </c>
      <c r="B67" s="81">
        <f>+B47+B62+B65</f>
        <v>9401361</v>
      </c>
      <c r="C67" s="81">
        <f>+C47+C62+C65</f>
        <v>67519176</v>
      </c>
      <c r="D67" s="56">
        <f>+B67-C67</f>
        <v>-58117815</v>
      </c>
      <c r="E67" s="58">
        <f>+B67/C67-1</f>
        <v>-0.86076013427652021</v>
      </c>
      <c r="F67" s="79"/>
      <c r="G67" s="90"/>
      <c r="H67" s="856"/>
      <c r="I67" s="857"/>
      <c r="J67" s="5"/>
    </row>
    <row r="68" spans="1:10">
      <c r="A68" s="22"/>
      <c r="B68" s="70"/>
      <c r="C68" s="70"/>
      <c r="D68" s="22"/>
      <c r="E68" s="22"/>
      <c r="F68" s="4"/>
      <c r="G68" s="111"/>
    </row>
    <row r="69" spans="1:10" ht="12" customHeight="1">
      <c r="A69" s="59" t="s">
        <v>8</v>
      </c>
      <c r="B69" s="72"/>
      <c r="C69" s="72"/>
      <c r="D69" s="71"/>
      <c r="E69" s="71"/>
    </row>
    <row r="70" spans="1:10">
      <c r="A70" s="59" t="s">
        <v>174</v>
      </c>
      <c r="B70" s="60">
        <v>41781444</v>
      </c>
      <c r="C70" s="60">
        <f>40964305+4904</f>
        <v>40969209</v>
      </c>
      <c r="D70" s="57">
        <f>+B70-C70</f>
        <v>812235</v>
      </c>
      <c r="E70" s="58">
        <f>+D70/C70</f>
        <v>1.9825498705625486E-2</v>
      </c>
      <c r="G70" s="111">
        <f>+B70+B71</f>
        <v>106774453.16</v>
      </c>
    </row>
    <row r="71" spans="1:10" ht="15" customHeight="1">
      <c r="A71" s="59" t="s">
        <v>175</v>
      </c>
      <c r="B71" s="60">
        <v>64993009.159999996</v>
      </c>
      <c r="C71" s="60">
        <f>9627037.41+51561120.58</f>
        <v>61188157.989999995</v>
      </c>
      <c r="D71" s="57">
        <f>+B71-C71</f>
        <v>3804851.1700000018</v>
      </c>
      <c r="E71" s="58">
        <f>+D71/C71</f>
        <v>6.2182802930949972E-2</v>
      </c>
    </row>
    <row r="72" spans="1:10">
      <c r="A72" s="59" t="s">
        <v>165</v>
      </c>
      <c r="B72" s="64" t="e">
        <f>+#REF!</f>
        <v>#REF!</v>
      </c>
      <c r="C72" s="64">
        <v>25382050</v>
      </c>
      <c r="D72" s="57" t="e">
        <f>+B72-C72</f>
        <v>#REF!</v>
      </c>
      <c r="E72" s="58" t="e">
        <f>+D72/C72</f>
        <v>#REF!</v>
      </c>
      <c r="G72" s="111"/>
      <c r="H72" s="111"/>
    </row>
    <row r="73" spans="1:10">
      <c r="A73" s="59" t="s">
        <v>91</v>
      </c>
      <c r="B73" s="93">
        <v>55055770.549999997</v>
      </c>
      <c r="C73" s="93">
        <v>55055770.549999997</v>
      </c>
      <c r="D73" s="57">
        <f>+B73-C73</f>
        <v>0</v>
      </c>
      <c r="E73" s="58"/>
    </row>
    <row r="74" spans="1:10" s="1" customFormat="1">
      <c r="A74" s="55" t="s">
        <v>8</v>
      </c>
      <c r="B74" s="62" t="e">
        <f>SUM(B70:B73)</f>
        <v>#REF!</v>
      </c>
      <c r="C74" s="62">
        <f>SUM(C70:C73)</f>
        <v>182595187.53999999</v>
      </c>
      <c r="D74" s="56" t="e">
        <f>SUM(D70:D72)</f>
        <v>#REF!</v>
      </c>
      <c r="E74" s="58" t="e">
        <f>+B74/C74-1</f>
        <v>#REF!</v>
      </c>
      <c r="F74" s="14"/>
    </row>
    <row r="75" spans="1:10">
      <c r="A75" s="59" t="s">
        <v>9</v>
      </c>
      <c r="B75" s="62" t="e">
        <f>+B67+B74</f>
        <v>#REF!</v>
      </c>
      <c r="C75" s="62">
        <f>+C67+C74</f>
        <v>250114363.53999999</v>
      </c>
      <c r="D75" s="56" t="e">
        <f>+B75-C75</f>
        <v>#REF!</v>
      </c>
      <c r="E75" s="58" t="e">
        <f>+B75/C75-1</f>
        <v>#REF!</v>
      </c>
      <c r="G75" s="111"/>
    </row>
    <row r="76" spans="1:10">
      <c r="A76" s="73"/>
      <c r="B76" s="87"/>
      <c r="C76" s="87"/>
      <c r="D76" s="94"/>
      <c r="E76" s="89"/>
    </row>
    <row r="77" spans="1:10">
      <c r="A77" s="55" t="s">
        <v>176</v>
      </c>
      <c r="B77" s="62">
        <v>9160500</v>
      </c>
      <c r="C77" s="62">
        <v>7693034</v>
      </c>
      <c r="D77" s="56">
        <f>+B77-C77</f>
        <v>1467466</v>
      </c>
      <c r="E77" s="58">
        <f>+B77/C77-1</f>
        <v>0.19075256914242167</v>
      </c>
      <c r="G77" s="111"/>
      <c r="H77" s="111"/>
    </row>
    <row r="78" spans="1:10">
      <c r="A78" s="73"/>
      <c r="B78" s="87"/>
      <c r="C78" s="87"/>
      <c r="D78" s="88"/>
      <c r="E78" s="89"/>
      <c r="H78" s="111"/>
      <c r="I78" s="111"/>
    </row>
    <row r="79" spans="1:10">
      <c r="A79" s="73"/>
      <c r="D79" s="85" t="e">
        <f>+D75-D43</f>
        <v>#REF!</v>
      </c>
      <c r="E79" s="74"/>
      <c r="F79" s="18"/>
      <c r="G79" s="3"/>
    </row>
    <row r="80" spans="1:10">
      <c r="A80" s="74"/>
      <c r="B80" s="75"/>
      <c r="C80" s="76"/>
      <c r="D80" s="77"/>
      <c r="E80" s="77"/>
    </row>
    <row r="81" spans="1:5">
      <c r="A81" s="77" t="s">
        <v>92</v>
      </c>
      <c r="B81" s="77" t="s">
        <v>93</v>
      </c>
      <c r="C81" s="77"/>
      <c r="D81" s="77" t="s">
        <v>157</v>
      </c>
      <c r="E81" s="77"/>
    </row>
    <row r="82" spans="1:5">
      <c r="A82" s="77" t="s">
        <v>94</v>
      </c>
      <c r="B82" s="77" t="s">
        <v>95</v>
      </c>
      <c r="C82" s="77"/>
      <c r="D82" s="77" t="s">
        <v>96</v>
      </c>
      <c r="E82" s="77"/>
    </row>
    <row r="83" spans="1:5">
      <c r="A83" s="20"/>
      <c r="B83" s="20"/>
      <c r="C83" s="20"/>
      <c r="D83" s="20"/>
      <c r="E83" s="20"/>
    </row>
    <row r="84" spans="1:5">
      <c r="A84" s="19"/>
      <c r="B84" s="20"/>
      <c r="C84" s="20"/>
      <c r="D84" s="20"/>
      <c r="E84" s="20"/>
    </row>
    <row r="85" spans="1:5">
      <c r="A85" s="19"/>
      <c r="B85" s="20"/>
      <c r="C85" s="20"/>
      <c r="D85" s="20"/>
      <c r="E85" s="20"/>
    </row>
    <row r="86" spans="1:5">
      <c r="A86" s="19"/>
      <c r="B86" s="114"/>
      <c r="C86" s="114"/>
      <c r="D86" s="114"/>
      <c r="E86" s="20"/>
    </row>
    <row r="87" spans="1:5">
      <c r="A87" s="19"/>
      <c r="B87" s="115" t="e">
        <f>+B75-B43</f>
        <v>#REF!</v>
      </c>
      <c r="C87" s="115">
        <f>+C75-C43</f>
        <v>-3.2782554626464844E-7</v>
      </c>
      <c r="D87" s="114"/>
      <c r="E87" s="20"/>
    </row>
    <row r="88" spans="1:5">
      <c r="A88" s="19"/>
      <c r="B88" s="114"/>
      <c r="C88" s="114"/>
      <c r="D88" s="114"/>
      <c r="E88" s="20"/>
    </row>
    <row r="102" spans="2:3">
      <c r="B102" s="21"/>
      <c r="C102" s="21"/>
    </row>
    <row r="103" spans="2:3">
      <c r="B103" s="11"/>
      <c r="C103" s="11"/>
    </row>
  </sheetData>
  <mergeCells count="5">
    <mergeCell ref="A1:E1"/>
    <mergeCell ref="A2:E2"/>
    <mergeCell ref="A3:E3"/>
    <mergeCell ref="A4:E4"/>
    <mergeCell ref="H67:I67"/>
  </mergeCells>
  <printOptions horizontalCentered="1"/>
  <pageMargins left="0.70866141732283472" right="0.70866141732283472" top="0.15748031496062992" bottom="0.15748031496062992" header="0.31496062992125984" footer="0.31496062992125984"/>
  <pageSetup scale="7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3"/>
  <sheetViews>
    <sheetView topLeftCell="A42" workbookViewId="0">
      <selection activeCell="G53" sqref="G53"/>
    </sheetView>
  </sheetViews>
  <sheetFormatPr baseColWidth="10" defaultColWidth="8.85546875" defaultRowHeight="12.75"/>
  <cols>
    <col min="1" max="1" width="39.42578125" style="18" customWidth="1"/>
    <col min="2" max="3" width="13.28515625" style="6" customWidth="1"/>
    <col min="4" max="4" width="12.7109375" style="6" customWidth="1"/>
    <col min="5" max="5" width="7.28515625" style="6" customWidth="1"/>
    <col min="6" max="6" width="6.85546875" style="6" customWidth="1"/>
    <col min="7" max="7" width="15.140625" style="4" bestFit="1" customWidth="1"/>
    <col min="8" max="8" width="14.28515625" style="4" customWidth="1"/>
    <col min="9" max="9" width="11.28515625" style="4" bestFit="1" customWidth="1"/>
    <col min="10" max="10" width="13.42578125" style="4" bestFit="1" customWidth="1"/>
    <col min="11" max="16384" width="8.85546875" style="4"/>
  </cols>
  <sheetData>
    <row r="1" spans="1:7">
      <c r="A1" s="855" t="s">
        <v>49</v>
      </c>
      <c r="B1" s="855"/>
      <c r="C1" s="855"/>
      <c r="D1" s="855"/>
      <c r="E1" s="855"/>
    </row>
    <row r="2" spans="1:7">
      <c r="A2" s="855" t="s">
        <v>50</v>
      </c>
      <c r="B2" s="855"/>
      <c r="C2" s="855"/>
      <c r="D2" s="855"/>
      <c r="E2" s="855"/>
    </row>
    <row r="3" spans="1:7">
      <c r="A3" s="855" t="s">
        <v>51</v>
      </c>
      <c r="B3" s="855"/>
      <c r="C3" s="855"/>
      <c r="D3" s="855"/>
      <c r="E3" s="855"/>
    </row>
    <row r="4" spans="1:7">
      <c r="A4" s="855" t="s">
        <v>52</v>
      </c>
      <c r="B4" s="855"/>
      <c r="C4" s="855"/>
      <c r="D4" s="855"/>
      <c r="E4" s="855"/>
    </row>
    <row r="5" spans="1:7">
      <c r="A5" s="50" t="s">
        <v>0</v>
      </c>
      <c r="B5" s="51">
        <v>43586</v>
      </c>
      <c r="C5" s="51">
        <v>43556</v>
      </c>
      <c r="D5" s="52" t="s">
        <v>53</v>
      </c>
      <c r="E5" s="52" t="s">
        <v>17</v>
      </c>
    </row>
    <row r="6" spans="1:7">
      <c r="A6" s="68" t="s">
        <v>54</v>
      </c>
      <c r="B6" s="53"/>
      <c r="C6" s="53"/>
      <c r="D6" s="54"/>
      <c r="E6" s="54"/>
    </row>
    <row r="7" spans="1:7">
      <c r="A7" s="55" t="s">
        <v>55</v>
      </c>
      <c r="B7" s="56">
        <f>+B8+B9</f>
        <v>31697079.18</v>
      </c>
      <c r="C7" s="56">
        <f>+C8+C9</f>
        <v>89836429.180000305</v>
      </c>
      <c r="D7" s="56">
        <f t="shared" ref="D7:D12" si="0">+B7-C7</f>
        <v>-58139350.000000305</v>
      </c>
      <c r="E7" s="58">
        <f>+B7/C7-1</f>
        <v>-0.64716897733668477</v>
      </c>
      <c r="F7" s="46"/>
      <c r="G7" s="111">
        <f>+B7-B67</f>
        <v>22295718.18</v>
      </c>
    </row>
    <row r="8" spans="1:7">
      <c r="A8" s="59" t="s">
        <v>56</v>
      </c>
      <c r="B8" s="57">
        <v>600000</v>
      </c>
      <c r="C8" s="57">
        <v>600000</v>
      </c>
      <c r="D8" s="57">
        <f t="shared" si="0"/>
        <v>0</v>
      </c>
      <c r="E8" s="58">
        <f>+D8/C8</f>
        <v>0</v>
      </c>
    </row>
    <row r="9" spans="1:7">
      <c r="A9" s="59" t="s">
        <v>57</v>
      </c>
      <c r="B9" s="107">
        <v>31097079.18</v>
      </c>
      <c r="C9" s="107">
        <v>89236429.180000305</v>
      </c>
      <c r="D9" s="57">
        <f t="shared" si="0"/>
        <v>-58139350.000000305</v>
      </c>
      <c r="E9" s="58">
        <f>+D9/C9</f>
        <v>-0.6515203547950853</v>
      </c>
    </row>
    <row r="10" spans="1:7">
      <c r="A10" s="55" t="s">
        <v>58</v>
      </c>
      <c r="B10" s="56">
        <f>SUM(B11:B12)</f>
        <v>99411214.530000001</v>
      </c>
      <c r="C10" s="56">
        <f>SUM(C11:C12)</f>
        <v>99409135.359999999</v>
      </c>
      <c r="D10" s="56">
        <f t="shared" si="0"/>
        <v>2079.1700000017881</v>
      </c>
      <c r="E10" s="58">
        <f>+B10/C10-1</f>
        <v>2.0915280999789232E-5</v>
      </c>
      <c r="G10" s="111">
        <f>+B10-B70-B71</f>
        <v>-7363238.6299999952</v>
      </c>
    </row>
    <row r="11" spans="1:7">
      <c r="A11" s="59" t="s">
        <v>59</v>
      </c>
      <c r="B11" s="107">
        <v>70271342.769999996</v>
      </c>
      <c r="C11" s="107">
        <v>70269263.599999994</v>
      </c>
      <c r="D11" s="57">
        <f t="shared" si="0"/>
        <v>2079.1700000017881</v>
      </c>
      <c r="E11" s="58">
        <f>+B11/C11-1</f>
        <v>2.9588612338926623E-5</v>
      </c>
      <c r="G11" s="111">
        <f>+G7+G10</f>
        <v>14932479.550000004</v>
      </c>
    </row>
    <row r="12" spans="1:7">
      <c r="A12" s="59" t="s">
        <v>60</v>
      </c>
      <c r="B12" s="80">
        <v>29139871.760000002</v>
      </c>
      <c r="C12" s="80">
        <v>29139871.760000002</v>
      </c>
      <c r="D12" s="57">
        <f t="shared" si="0"/>
        <v>0</v>
      </c>
      <c r="E12" s="58">
        <f>+B12/C12-1</f>
        <v>0</v>
      </c>
    </row>
    <row r="13" spans="1:7">
      <c r="A13" s="22"/>
      <c r="B13" s="61"/>
      <c r="C13" s="61"/>
      <c r="D13" s="61"/>
      <c r="E13" s="22"/>
      <c r="F13" s="4"/>
    </row>
    <row r="14" spans="1:7">
      <c r="A14" s="55" t="s">
        <v>61</v>
      </c>
      <c r="B14" s="62">
        <f>SUM(B15:B24)</f>
        <v>80651188</v>
      </c>
      <c r="C14" s="62">
        <f>SUM(C15:C24)</f>
        <v>76050324</v>
      </c>
      <c r="D14" s="56">
        <f>SUM(D15:D24)</f>
        <v>4600864</v>
      </c>
      <c r="E14" s="58">
        <f>+B14/C14-1</f>
        <v>6.049762523036728E-2</v>
      </c>
      <c r="F14" s="45"/>
      <c r="G14" s="112"/>
    </row>
    <row r="15" spans="1:7">
      <c r="A15" s="59" t="s">
        <v>62</v>
      </c>
      <c r="B15" s="109">
        <v>65777681</v>
      </c>
      <c r="C15" s="109">
        <v>61748867</v>
      </c>
      <c r="D15" s="57">
        <f>+B15-C15</f>
        <v>4028814</v>
      </c>
      <c r="E15" s="58">
        <f>+D15/C15</f>
        <v>6.5245148546612203E-2</v>
      </c>
    </row>
    <row r="16" spans="1:7">
      <c r="A16" s="59" t="s">
        <v>63</v>
      </c>
      <c r="B16" s="109">
        <v>5870400</v>
      </c>
      <c r="C16" s="109">
        <v>6331950</v>
      </c>
      <c r="D16" s="57">
        <f>+B16-C16</f>
        <v>-461550</v>
      </c>
      <c r="E16" s="58">
        <f t="shared" ref="E16:E24" si="1">+D16/C16</f>
        <v>-7.2892236988605405E-2</v>
      </c>
    </row>
    <row r="17" spans="1:7">
      <c r="A17" s="59" t="s">
        <v>148</v>
      </c>
      <c r="B17" s="108">
        <v>4000</v>
      </c>
      <c r="C17" s="108">
        <v>4000</v>
      </c>
      <c r="D17" s="57">
        <f>+B17-C17</f>
        <v>0</v>
      </c>
      <c r="E17" s="58">
        <f t="shared" si="1"/>
        <v>0</v>
      </c>
    </row>
    <row r="18" spans="1:7">
      <c r="A18" s="59" t="s">
        <v>14</v>
      </c>
      <c r="B18" s="109">
        <v>807350</v>
      </c>
      <c r="C18" s="109">
        <v>455850</v>
      </c>
      <c r="D18" s="57">
        <f t="shared" ref="D18:D25" si="2">+B18-C18</f>
        <v>351500</v>
      </c>
      <c r="E18" s="58">
        <f t="shared" si="1"/>
        <v>0.7710869803663486</v>
      </c>
    </row>
    <row r="19" spans="1:7">
      <c r="A19" s="63" t="s">
        <v>149</v>
      </c>
      <c r="B19" s="109">
        <v>1007350</v>
      </c>
      <c r="C19" s="109">
        <v>174300</v>
      </c>
      <c r="D19" s="57">
        <f t="shared" si="2"/>
        <v>833050</v>
      </c>
      <c r="E19" s="58">
        <f t="shared" si="1"/>
        <v>4.779403327596099</v>
      </c>
    </row>
    <row r="20" spans="1:7">
      <c r="A20" s="63" t="s">
        <v>64</v>
      </c>
      <c r="B20" s="109">
        <v>338000</v>
      </c>
      <c r="C20" s="109">
        <v>178000</v>
      </c>
      <c r="D20" s="57">
        <f t="shared" si="2"/>
        <v>160000</v>
      </c>
      <c r="E20" s="58">
        <f t="shared" si="1"/>
        <v>0.898876404494382</v>
      </c>
    </row>
    <row r="21" spans="1:7">
      <c r="A21" s="63" t="s">
        <v>161</v>
      </c>
      <c r="B21" s="109">
        <v>2052083</v>
      </c>
      <c r="C21" s="109">
        <v>2135033</v>
      </c>
      <c r="D21" s="57">
        <f t="shared" si="2"/>
        <v>-82950</v>
      </c>
      <c r="E21" s="58">
        <f t="shared" si="1"/>
        <v>-3.8851858495863999E-2</v>
      </c>
    </row>
    <row r="22" spans="1:7">
      <c r="A22" s="59" t="s">
        <v>159</v>
      </c>
      <c r="B22" s="109">
        <v>58300</v>
      </c>
      <c r="C22" s="109">
        <v>718380</v>
      </c>
      <c r="D22" s="57">
        <f t="shared" si="2"/>
        <v>-660080</v>
      </c>
      <c r="E22" s="58">
        <f t="shared" si="1"/>
        <v>-0.91884517943149868</v>
      </c>
    </row>
    <row r="23" spans="1:7">
      <c r="A23" s="59" t="s">
        <v>65</v>
      </c>
      <c r="B23" s="109">
        <v>8593300</v>
      </c>
      <c r="C23" s="109">
        <v>8870500</v>
      </c>
      <c r="D23" s="57">
        <f t="shared" si="2"/>
        <v>-277200</v>
      </c>
      <c r="E23" s="58">
        <f t="shared" si="1"/>
        <v>-3.1249647708697367E-2</v>
      </c>
      <c r="F23" s="11"/>
    </row>
    <row r="24" spans="1:7">
      <c r="A24" s="59" t="s">
        <v>66</v>
      </c>
      <c r="B24" s="109">
        <v>-3857276</v>
      </c>
      <c r="C24" s="109">
        <v>-4566556</v>
      </c>
      <c r="D24" s="57">
        <f t="shared" si="2"/>
        <v>709280</v>
      </c>
      <c r="E24" s="58">
        <f t="shared" si="1"/>
        <v>-0.15532055229367603</v>
      </c>
    </row>
    <row r="25" spans="1:7">
      <c r="A25" s="55" t="s">
        <v>67</v>
      </c>
      <c r="B25" s="65">
        <v>-33680235</v>
      </c>
      <c r="C25" s="65">
        <v>-33680235</v>
      </c>
      <c r="D25" s="56">
        <f t="shared" si="2"/>
        <v>0</v>
      </c>
      <c r="E25" s="58">
        <f>+B25/C25-1</f>
        <v>0</v>
      </c>
    </row>
    <row r="26" spans="1:7">
      <c r="A26" s="22"/>
      <c r="B26" s="61"/>
      <c r="C26" s="61"/>
      <c r="D26" s="61"/>
      <c r="E26" s="22"/>
      <c r="F26" s="4"/>
    </row>
    <row r="27" spans="1:7">
      <c r="A27" s="55" t="s">
        <v>68</v>
      </c>
      <c r="B27" s="56">
        <f>SUM(B28:B29)</f>
        <v>8339500</v>
      </c>
      <c r="C27" s="56">
        <f>SUM(C28:C29)</f>
        <v>9440250</v>
      </c>
      <c r="D27" s="56">
        <f>+B27-C27</f>
        <v>-1100750</v>
      </c>
      <c r="E27" s="58">
        <f>+B27/C27-1</f>
        <v>-0.11660178491035722</v>
      </c>
    </row>
    <row r="28" spans="1:7">
      <c r="A28" s="59" t="s">
        <v>69</v>
      </c>
      <c r="B28" s="57">
        <v>2897500</v>
      </c>
      <c r="C28" s="57">
        <v>2897500</v>
      </c>
      <c r="D28" s="57">
        <f>+B28-C28</f>
        <v>0</v>
      </c>
      <c r="E28" s="58">
        <v>0</v>
      </c>
    </row>
    <row r="29" spans="1:7">
      <c r="A29" s="59" t="s">
        <v>70</v>
      </c>
      <c r="B29" s="107">
        <v>5442000</v>
      </c>
      <c r="C29" s="107">
        <f>7700750-1158000</f>
        <v>6542750</v>
      </c>
      <c r="D29" s="57">
        <f>+B29-C29</f>
        <v>-1100750</v>
      </c>
      <c r="E29" s="58">
        <v>0</v>
      </c>
    </row>
    <row r="30" spans="1:7">
      <c r="A30" s="68" t="s">
        <v>71</v>
      </c>
      <c r="B30" s="56">
        <f>+B7+B10+B14+B27+B25</f>
        <v>186418746.71000001</v>
      </c>
      <c r="C30" s="56">
        <f>+C7+C10+C14+C27+C25</f>
        <v>241055903.54000032</v>
      </c>
      <c r="D30" s="56">
        <f>+D7+D10+D14+D27+D25</f>
        <v>-54637156.830000304</v>
      </c>
      <c r="E30" s="66">
        <f>+B30/C30-1</f>
        <v>-0.22665761770457504</v>
      </c>
      <c r="F30" s="78"/>
      <c r="G30" s="48"/>
    </row>
    <row r="31" spans="1:7">
      <c r="A31" s="22"/>
      <c r="B31" s="61"/>
      <c r="C31" s="61"/>
      <c r="D31" s="61"/>
      <c r="E31" s="22"/>
      <c r="F31" s="4"/>
    </row>
    <row r="32" spans="1:7">
      <c r="A32" s="68" t="s">
        <v>72</v>
      </c>
      <c r="B32" s="57"/>
      <c r="C32" s="57"/>
      <c r="D32" s="57"/>
      <c r="E32" s="58"/>
    </row>
    <row r="33" spans="1:8">
      <c r="A33" s="59" t="s">
        <v>2</v>
      </c>
      <c r="B33" s="56">
        <f>SUM(B34:B37)</f>
        <v>0</v>
      </c>
      <c r="C33" s="56">
        <f>SUM(C34:C37)</f>
        <v>0</v>
      </c>
      <c r="D33" s="57">
        <f>SUM(D34:D37)</f>
        <v>0</v>
      </c>
      <c r="E33" s="58">
        <v>0</v>
      </c>
    </row>
    <row r="34" spans="1:8">
      <c r="A34" s="59" t="s">
        <v>73</v>
      </c>
      <c r="B34" s="57">
        <v>2200000</v>
      </c>
      <c r="C34" s="57">
        <v>2200000</v>
      </c>
      <c r="D34" s="57">
        <f>+B34-C34</f>
        <v>0</v>
      </c>
      <c r="E34" s="58">
        <f>+D34/C34</f>
        <v>0</v>
      </c>
    </row>
    <row r="35" spans="1:8">
      <c r="A35" s="59" t="s">
        <v>74</v>
      </c>
      <c r="B35" s="57">
        <f>10214405+126105</f>
        <v>10340510</v>
      </c>
      <c r="C35" s="57">
        <f>10214405+126105</f>
        <v>10340510</v>
      </c>
      <c r="D35" s="57">
        <f>+B35-C35</f>
        <v>0</v>
      </c>
      <c r="E35" s="58">
        <f>+D35/C35</f>
        <v>0</v>
      </c>
    </row>
    <row r="36" spans="1:8">
      <c r="A36" s="59" t="s">
        <v>75</v>
      </c>
      <c r="B36" s="57">
        <v>1767000</v>
      </c>
      <c r="C36" s="57">
        <v>1767000</v>
      </c>
      <c r="D36" s="57">
        <f>+B36-C36</f>
        <v>0</v>
      </c>
      <c r="E36" s="58">
        <f>+D36/C36</f>
        <v>0</v>
      </c>
    </row>
    <row r="37" spans="1:8">
      <c r="A37" s="59" t="s">
        <v>76</v>
      </c>
      <c r="B37" s="57">
        <f>-14181405-126105</f>
        <v>-14307510</v>
      </c>
      <c r="C37" s="57">
        <f>-14181405-126105</f>
        <v>-14307510</v>
      </c>
      <c r="D37" s="57">
        <f>+B37-C37</f>
        <v>0</v>
      </c>
      <c r="E37" s="58">
        <f>+B37/C37-1</f>
        <v>0</v>
      </c>
    </row>
    <row r="38" spans="1:8">
      <c r="A38" s="22"/>
      <c r="B38" s="61"/>
      <c r="C38" s="61"/>
      <c r="D38" s="61"/>
      <c r="E38" s="22"/>
      <c r="F38" s="4"/>
    </row>
    <row r="39" spans="1:8">
      <c r="A39" s="59" t="s">
        <v>77</v>
      </c>
      <c r="B39" s="56">
        <f>SUM(B40:B40)</f>
        <v>5859776</v>
      </c>
      <c r="C39" s="56">
        <f>SUM(C40:C40)</f>
        <v>9058460</v>
      </c>
      <c r="D39" s="57">
        <f>SUM(D40:D40)</f>
        <v>-3198684</v>
      </c>
      <c r="E39" s="58">
        <f>+B39/C39-1</f>
        <v>-0.35311565100469611</v>
      </c>
    </row>
    <row r="40" spans="1:8" ht="14.45" customHeight="1">
      <c r="A40" s="59" t="s">
        <v>78</v>
      </c>
      <c r="B40" s="110">
        <v>5859776</v>
      </c>
      <c r="C40" s="110">
        <v>9058460</v>
      </c>
      <c r="D40" s="57">
        <f>+B40-C40</f>
        <v>-3198684</v>
      </c>
      <c r="E40" s="58">
        <f>+B40/C40-1</f>
        <v>-0.35311565100469611</v>
      </c>
    </row>
    <row r="41" spans="1:8">
      <c r="A41" s="68" t="s">
        <v>79</v>
      </c>
      <c r="B41" s="56">
        <f>+B33+B39</f>
        <v>5859776</v>
      </c>
      <c r="C41" s="56">
        <f>+C33+C39</f>
        <v>9058460</v>
      </c>
      <c r="D41" s="56">
        <f>+D33+D37+D39</f>
        <v>-3198684</v>
      </c>
      <c r="E41" s="67">
        <f>+E33+E37+E39</f>
        <v>-0.35311565100469611</v>
      </c>
    </row>
    <row r="42" spans="1:8">
      <c r="A42" s="22"/>
      <c r="B42" s="61"/>
      <c r="C42" s="61"/>
      <c r="D42" s="61"/>
      <c r="E42" s="22"/>
      <c r="F42" s="4"/>
      <c r="G42" s="111"/>
    </row>
    <row r="43" spans="1:8">
      <c r="A43" s="99" t="s">
        <v>3</v>
      </c>
      <c r="B43" s="56">
        <f>+B30+B41</f>
        <v>192278522.71000001</v>
      </c>
      <c r="C43" s="56">
        <f>+C30+C41</f>
        <v>250114363.54000032</v>
      </c>
      <c r="D43" s="56">
        <f>+D7+D10+D14+D25+D27+D33+D37+D39</f>
        <v>-57835840.830000304</v>
      </c>
      <c r="E43" s="58">
        <f>+B43/C43-1</f>
        <v>-0.23123758272583472</v>
      </c>
      <c r="F43" s="78"/>
      <c r="G43" s="48"/>
      <c r="H43" s="48"/>
    </row>
    <row r="44" spans="1:8">
      <c r="A44" s="22"/>
      <c r="B44" s="61"/>
      <c r="C44" s="61"/>
      <c r="D44" s="61"/>
      <c r="E44" s="22"/>
      <c r="F44" s="4"/>
      <c r="G44" s="48"/>
    </row>
    <row r="45" spans="1:8">
      <c r="A45" s="68" t="s">
        <v>4</v>
      </c>
      <c r="B45" s="64"/>
      <c r="C45" s="64"/>
      <c r="D45" s="57"/>
      <c r="E45" s="58"/>
    </row>
    <row r="46" spans="1:8">
      <c r="A46" s="68" t="s">
        <v>80</v>
      </c>
      <c r="B46" s="64"/>
      <c r="C46" s="64"/>
      <c r="D46" s="57"/>
      <c r="E46" s="58"/>
    </row>
    <row r="47" spans="1:8">
      <c r="A47" s="69" t="s">
        <v>5</v>
      </c>
      <c r="B47" s="81">
        <f>SUM(B48:B61)</f>
        <v>3176201</v>
      </c>
      <c r="C47" s="81">
        <f>SUM(C48:C61)</f>
        <v>59434276</v>
      </c>
      <c r="D47" s="81">
        <f>SUM(D48:D61)</f>
        <v>-56258075</v>
      </c>
      <c r="E47" s="58">
        <f>+B47/C47-1</f>
        <v>-0.94655943987607416</v>
      </c>
      <c r="F47" s="45"/>
      <c r="G47" s="112"/>
      <c r="H47" s="112"/>
    </row>
    <row r="48" spans="1:8">
      <c r="A48" s="54" t="s">
        <v>81</v>
      </c>
      <c r="B48" s="109">
        <v>0</v>
      </c>
      <c r="C48" s="109">
        <v>4988000</v>
      </c>
      <c r="D48" s="57">
        <f t="shared" ref="D48:D61" si="3">+B48-C48</f>
        <v>-4988000</v>
      </c>
      <c r="E48" s="58">
        <f t="shared" ref="E48:E53" si="4">+B48/C48-1</f>
        <v>-1</v>
      </c>
    </row>
    <row r="49" spans="1:5">
      <c r="A49" s="59" t="s">
        <v>6</v>
      </c>
      <c r="B49" s="109">
        <v>945179</v>
      </c>
      <c r="C49" s="109">
        <v>1194129</v>
      </c>
      <c r="D49" s="57">
        <f t="shared" si="3"/>
        <v>-248950</v>
      </c>
      <c r="E49" s="58">
        <f t="shared" si="4"/>
        <v>-0.20847831348204426</v>
      </c>
    </row>
    <row r="50" spans="1:5">
      <c r="A50" s="59" t="s">
        <v>82</v>
      </c>
      <c r="B50" s="109">
        <v>563842</v>
      </c>
      <c r="C50" s="109">
        <v>266946</v>
      </c>
      <c r="D50" s="57">
        <f t="shared" si="3"/>
        <v>296896</v>
      </c>
      <c r="E50" s="58">
        <f t="shared" si="4"/>
        <v>1.1121949757628884</v>
      </c>
    </row>
    <row r="51" spans="1:5">
      <c r="A51" s="59" t="s">
        <v>83</v>
      </c>
      <c r="B51" s="109">
        <v>0</v>
      </c>
      <c r="C51" s="109">
        <v>39585798</v>
      </c>
      <c r="D51" s="57">
        <f t="shared" si="3"/>
        <v>-39585798</v>
      </c>
      <c r="E51" s="58">
        <v>1</v>
      </c>
    </row>
    <row r="52" spans="1:5">
      <c r="A52" s="59" t="s">
        <v>84</v>
      </c>
      <c r="B52" s="109">
        <v>0</v>
      </c>
      <c r="C52" s="109">
        <v>1746717</v>
      </c>
      <c r="D52" s="57">
        <f t="shared" si="3"/>
        <v>-1746717</v>
      </c>
      <c r="E52" s="58">
        <f t="shared" si="4"/>
        <v>-1</v>
      </c>
    </row>
    <row r="53" spans="1:5">
      <c r="A53" s="59" t="s">
        <v>85</v>
      </c>
      <c r="B53" s="109">
        <v>0</v>
      </c>
      <c r="C53" s="109">
        <v>7367664</v>
      </c>
      <c r="D53" s="57">
        <f t="shared" si="3"/>
        <v>-7367664</v>
      </c>
      <c r="E53" s="58">
        <f t="shared" si="4"/>
        <v>-1</v>
      </c>
    </row>
    <row r="54" spans="1:5">
      <c r="A54" s="27" t="s">
        <v>86</v>
      </c>
      <c r="B54" s="109">
        <v>0</v>
      </c>
      <c r="C54" s="109">
        <v>511980</v>
      </c>
      <c r="D54" s="57">
        <f t="shared" si="3"/>
        <v>-511980</v>
      </c>
      <c r="E54" s="58">
        <v>1</v>
      </c>
    </row>
    <row r="55" spans="1:5">
      <c r="A55" s="59" t="s">
        <v>160</v>
      </c>
      <c r="B55" s="109">
        <v>0</v>
      </c>
      <c r="C55" s="109">
        <v>225362</v>
      </c>
      <c r="D55" s="57">
        <f>+B55-C55</f>
        <v>-225362</v>
      </c>
      <c r="E55" s="58">
        <v>1</v>
      </c>
    </row>
    <row r="56" spans="1:5">
      <c r="A56" s="59" t="s">
        <v>187</v>
      </c>
      <c r="B56" s="109">
        <v>1130500</v>
      </c>
      <c r="C56" s="109">
        <v>950000</v>
      </c>
      <c r="D56" s="57">
        <f>+B56-C56</f>
        <v>180500</v>
      </c>
      <c r="E56" s="58">
        <v>1</v>
      </c>
    </row>
    <row r="57" spans="1:5">
      <c r="A57" s="59" t="s">
        <v>87</v>
      </c>
      <c r="B57" s="109">
        <v>116680</v>
      </c>
      <c r="C57" s="109">
        <f>116680+394800</f>
        <v>511480</v>
      </c>
      <c r="D57" s="57">
        <f t="shared" si="3"/>
        <v>-394800</v>
      </c>
      <c r="E57" s="58">
        <v>1</v>
      </c>
    </row>
    <row r="58" spans="1:5">
      <c r="A58" s="59" t="s">
        <v>177</v>
      </c>
      <c r="B58" s="109">
        <v>0</v>
      </c>
      <c r="C58" s="109">
        <v>0</v>
      </c>
      <c r="D58" s="57">
        <f t="shared" si="3"/>
        <v>0</v>
      </c>
      <c r="E58" s="58">
        <v>1</v>
      </c>
    </row>
    <row r="59" spans="1:5">
      <c r="A59" s="59" t="s">
        <v>172</v>
      </c>
      <c r="B59" s="109">
        <v>420000</v>
      </c>
      <c r="C59" s="109">
        <f>2123960-50000+12240</f>
        <v>2086200</v>
      </c>
      <c r="D59" s="57">
        <f t="shared" si="3"/>
        <v>-1666200</v>
      </c>
      <c r="E59" s="58">
        <v>1</v>
      </c>
    </row>
    <row r="60" spans="1:5">
      <c r="A60" s="59" t="s">
        <v>173</v>
      </c>
      <c r="B60" s="83">
        <v>0</v>
      </c>
      <c r="C60" s="83"/>
      <c r="D60" s="57">
        <f t="shared" si="3"/>
        <v>0</v>
      </c>
      <c r="E60" s="58"/>
    </row>
    <row r="61" spans="1:5">
      <c r="A61" s="59" t="s">
        <v>178</v>
      </c>
      <c r="B61" s="83">
        <v>0</v>
      </c>
      <c r="C61" s="83"/>
      <c r="D61" s="57">
        <f t="shared" si="3"/>
        <v>0</v>
      </c>
      <c r="E61" s="58"/>
    </row>
    <row r="62" spans="1:5">
      <c r="A62" s="69" t="s">
        <v>88</v>
      </c>
      <c r="B62" s="81">
        <f>+B63</f>
        <v>5160354</v>
      </c>
      <c r="C62" s="81">
        <f>+C63</f>
        <v>5340096</v>
      </c>
      <c r="D62" s="56">
        <f>+B62-C62</f>
        <v>-179742</v>
      </c>
      <c r="E62" s="58">
        <f>+B62/C62-1</f>
        <v>-3.3658945457160305E-2</v>
      </c>
    </row>
    <row r="63" spans="1:5">
      <c r="A63" s="59" t="s">
        <v>62</v>
      </c>
      <c r="B63" s="109">
        <v>5160354</v>
      </c>
      <c r="C63" s="109">
        <v>5340096</v>
      </c>
      <c r="D63" s="57">
        <f>+B63-C63</f>
        <v>-179742</v>
      </c>
      <c r="E63" s="58">
        <f>+D63/C63</f>
        <v>-3.3658945457160319E-2</v>
      </c>
    </row>
    <row r="64" spans="1:5">
      <c r="A64" s="59"/>
      <c r="B64" s="82"/>
      <c r="C64" s="82"/>
      <c r="D64" s="57"/>
      <c r="E64" s="58"/>
    </row>
    <row r="65" spans="1:10">
      <c r="A65" s="59" t="s">
        <v>89</v>
      </c>
      <c r="B65" s="109">
        <v>1064806</v>
      </c>
      <c r="C65" s="109">
        <v>2744804</v>
      </c>
      <c r="D65" s="57">
        <f>+B65-C65</f>
        <v>-1679998</v>
      </c>
      <c r="E65" s="58">
        <f>+D65/C65</f>
        <v>-0.61206483231589581</v>
      </c>
    </row>
    <row r="66" spans="1:10">
      <c r="A66" s="68" t="s">
        <v>90</v>
      </c>
      <c r="B66" s="81">
        <f>+B47+B62+B65</f>
        <v>9401361</v>
      </c>
      <c r="C66" s="81">
        <f>+C47+C62+C65</f>
        <v>67519176</v>
      </c>
      <c r="D66" s="56">
        <f>+B66-C66</f>
        <v>-58117815</v>
      </c>
      <c r="E66" s="58">
        <f>+B66/C66-1</f>
        <v>-0.86076013427652021</v>
      </c>
    </row>
    <row r="67" spans="1:10">
      <c r="A67" s="99" t="s">
        <v>7</v>
      </c>
      <c r="B67" s="81">
        <f>+B47+B62+B65</f>
        <v>9401361</v>
      </c>
      <c r="C67" s="81">
        <f>+C47+C62+C65</f>
        <v>67519176</v>
      </c>
      <c r="D67" s="56">
        <f>+B67-C67</f>
        <v>-58117815</v>
      </c>
      <c r="E67" s="58">
        <f>+B67/C67-1</f>
        <v>-0.86076013427652021</v>
      </c>
      <c r="F67" s="79"/>
      <c r="G67" s="90"/>
      <c r="H67" s="856"/>
      <c r="I67" s="857"/>
      <c r="J67" s="5"/>
    </row>
    <row r="68" spans="1:10">
      <c r="A68" s="22"/>
      <c r="B68" s="70"/>
      <c r="C68" s="70"/>
      <c r="D68" s="22"/>
      <c r="E68" s="22"/>
      <c r="F68" s="4"/>
      <c r="G68" s="111"/>
    </row>
    <row r="69" spans="1:10" ht="12" customHeight="1">
      <c r="A69" s="59" t="s">
        <v>8</v>
      </c>
      <c r="B69" s="72"/>
      <c r="C69" s="72"/>
      <c r="D69" s="71"/>
      <c r="E69" s="71"/>
    </row>
    <row r="70" spans="1:10">
      <c r="A70" s="59" t="s">
        <v>174</v>
      </c>
      <c r="B70" s="60">
        <v>41781444</v>
      </c>
      <c r="C70" s="60">
        <f>40964305+4904</f>
        <v>40969209</v>
      </c>
      <c r="D70" s="57">
        <f>+B70-C70</f>
        <v>812235</v>
      </c>
      <c r="E70" s="58">
        <f>+D70/C70</f>
        <v>1.9825498705625486E-2</v>
      </c>
      <c r="G70" s="111"/>
    </row>
    <row r="71" spans="1:10" ht="15" customHeight="1">
      <c r="A71" s="59" t="s">
        <v>175</v>
      </c>
      <c r="B71" s="60">
        <v>64993009.159999996</v>
      </c>
      <c r="C71" s="60">
        <f>9627037.41+51561120.58</f>
        <v>61188157.989999995</v>
      </c>
      <c r="D71" s="57">
        <f>+B71-C71</f>
        <v>3804851.1700000018</v>
      </c>
      <c r="E71" s="58">
        <f>+D71/C71</f>
        <v>6.2182802930949972E-2</v>
      </c>
      <c r="G71" s="111"/>
    </row>
    <row r="72" spans="1:10">
      <c r="A72" s="59" t="s">
        <v>165</v>
      </c>
      <c r="B72" s="64" t="e">
        <f>+#REF!</f>
        <v>#REF!</v>
      </c>
      <c r="C72" s="64">
        <v>25382050</v>
      </c>
      <c r="D72" s="57" t="e">
        <f>+B72-C72</f>
        <v>#REF!</v>
      </c>
      <c r="E72" s="58" t="e">
        <f>+D72/C72</f>
        <v>#REF!</v>
      </c>
      <c r="G72" s="111"/>
      <c r="H72" s="111"/>
    </row>
    <row r="73" spans="1:10">
      <c r="A73" s="59" t="s">
        <v>91</v>
      </c>
      <c r="B73" s="93">
        <v>55055770.549999997</v>
      </c>
      <c r="C73" s="93">
        <v>55055770.549999997</v>
      </c>
      <c r="D73" s="57">
        <f>+B73-C73</f>
        <v>0</v>
      </c>
      <c r="E73" s="58"/>
    </row>
    <row r="74" spans="1:10" s="1" customFormat="1">
      <c r="A74" s="55" t="s">
        <v>8</v>
      </c>
      <c r="B74" s="62" t="e">
        <f>SUM(B70:B73)</f>
        <v>#REF!</v>
      </c>
      <c r="C74" s="62">
        <f>SUM(C70:C73)</f>
        <v>182595187.53999999</v>
      </c>
      <c r="D74" s="56" t="e">
        <f>SUM(D70:D72)</f>
        <v>#REF!</v>
      </c>
      <c r="E74" s="58" t="e">
        <f>+B74/C74-1</f>
        <v>#REF!</v>
      </c>
      <c r="F74" s="14"/>
    </row>
    <row r="75" spans="1:10">
      <c r="A75" s="59" t="s">
        <v>9</v>
      </c>
      <c r="B75" s="62" t="e">
        <f>+B67+B74</f>
        <v>#REF!</v>
      </c>
      <c r="C75" s="62">
        <f>+C67+C74</f>
        <v>250114363.53999999</v>
      </c>
      <c r="D75" s="56" t="e">
        <f>+B75-C75</f>
        <v>#REF!</v>
      </c>
      <c r="E75" s="58" t="e">
        <f>+B75/C75-1</f>
        <v>#REF!</v>
      </c>
      <c r="G75" s="111"/>
    </row>
    <row r="76" spans="1:10">
      <c r="A76" s="73"/>
      <c r="B76" s="87"/>
      <c r="C76" s="87"/>
      <c r="D76" s="94"/>
      <c r="E76" s="89"/>
    </row>
    <row r="77" spans="1:10">
      <c r="A77" s="55" t="s">
        <v>176</v>
      </c>
      <c r="B77" s="62">
        <v>9160500</v>
      </c>
      <c r="C77" s="62">
        <v>7693034</v>
      </c>
      <c r="D77" s="56">
        <f>+B77-C77</f>
        <v>1467466</v>
      </c>
      <c r="E77" s="58">
        <f>+B77/C77-1</f>
        <v>0.19075256914242167</v>
      </c>
      <c r="G77" s="111"/>
      <c r="H77" s="111"/>
    </row>
    <row r="78" spans="1:10">
      <c r="A78" s="73"/>
      <c r="B78" s="87"/>
      <c r="C78" s="87"/>
      <c r="D78" s="88"/>
      <c r="E78" s="89"/>
      <c r="H78" s="111"/>
      <c r="I78" s="111"/>
    </row>
    <row r="79" spans="1:10">
      <c r="A79" s="73"/>
      <c r="D79" s="85" t="e">
        <f>+D75-D43</f>
        <v>#REF!</v>
      </c>
      <c r="E79" s="74"/>
      <c r="F79" s="18"/>
      <c r="G79" s="3"/>
    </row>
    <row r="80" spans="1:10">
      <c r="A80" s="74"/>
      <c r="B80" s="75"/>
      <c r="C80" s="76"/>
      <c r="D80" s="77"/>
      <c r="E80" s="77"/>
    </row>
    <row r="81" spans="1:5">
      <c r="A81" s="77" t="s">
        <v>92</v>
      </c>
      <c r="B81" s="77" t="s">
        <v>93</v>
      </c>
      <c r="C81" s="77"/>
      <c r="D81" s="77" t="s">
        <v>157</v>
      </c>
      <c r="E81" s="77"/>
    </row>
    <row r="82" spans="1:5">
      <c r="A82" s="77" t="s">
        <v>94</v>
      </c>
      <c r="B82" s="77" t="s">
        <v>95</v>
      </c>
      <c r="C82" s="77"/>
      <c r="D82" s="77" t="s">
        <v>96</v>
      </c>
      <c r="E82" s="77"/>
    </row>
    <row r="83" spans="1:5">
      <c r="A83" s="20"/>
      <c r="B83" s="20"/>
      <c r="C83" s="20"/>
      <c r="D83" s="20"/>
      <c r="E83" s="20"/>
    </row>
    <row r="84" spans="1:5">
      <c r="A84" s="19"/>
      <c r="B84" s="20"/>
      <c r="C84" s="20"/>
      <c r="D84" s="20"/>
      <c r="E84" s="20"/>
    </row>
    <row r="85" spans="1:5">
      <c r="A85" s="19"/>
      <c r="B85" s="20"/>
      <c r="C85" s="20"/>
      <c r="D85" s="20"/>
      <c r="E85" s="20"/>
    </row>
    <row r="86" spans="1:5">
      <c r="A86" s="19"/>
      <c r="B86" s="114"/>
      <c r="C86" s="114"/>
      <c r="D86" s="114"/>
      <c r="E86" s="20"/>
    </row>
    <row r="87" spans="1:5">
      <c r="A87" s="19"/>
      <c r="B87" s="115" t="e">
        <f>+B75-B43</f>
        <v>#REF!</v>
      </c>
      <c r="C87" s="115">
        <f>+C75-C43</f>
        <v>-3.2782554626464844E-7</v>
      </c>
      <c r="D87" s="114"/>
      <c r="E87" s="20"/>
    </row>
    <row r="88" spans="1:5">
      <c r="A88" s="19"/>
      <c r="B88" s="114"/>
      <c r="C88" s="114"/>
      <c r="D88" s="114"/>
      <c r="E88" s="20"/>
    </row>
    <row r="102" spans="2:3">
      <c r="B102" s="21"/>
      <c r="C102" s="21"/>
    </row>
    <row r="103" spans="2:3">
      <c r="B103" s="11"/>
      <c r="C103" s="11"/>
    </row>
  </sheetData>
  <mergeCells count="5">
    <mergeCell ref="H67:I67"/>
    <mergeCell ref="A1:E1"/>
    <mergeCell ref="A2:E2"/>
    <mergeCell ref="A3:E3"/>
    <mergeCell ref="A4:E4"/>
  </mergeCells>
  <printOptions horizontalCentered="1"/>
  <pageMargins left="0.70866141732283472" right="0.70866141732283472" top="0.15748031496062992" bottom="0.15748031496062992" header="0.31496062992125984" footer="0.31496062992125984"/>
  <pageSetup scale="7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36"/>
  <sheetViews>
    <sheetView zoomScale="80" zoomScaleNormal="80" workbookViewId="0">
      <selection activeCell="E16" sqref="E16"/>
    </sheetView>
  </sheetViews>
  <sheetFormatPr baseColWidth="10" defaultRowHeight="15.75" customHeight="1"/>
  <cols>
    <col min="1" max="1" width="7.28515625" style="550" bestFit="1" customWidth="1"/>
    <col min="2" max="2" width="13.85546875" style="550" bestFit="1" customWidth="1"/>
    <col min="3" max="3" width="26.42578125" style="550" customWidth="1"/>
    <col min="4" max="4" width="17.28515625" style="551" bestFit="1" customWidth="1"/>
    <col min="5" max="5" width="15.85546875" style="551" bestFit="1" customWidth="1"/>
    <col min="6" max="6" width="14" style="551" bestFit="1" customWidth="1"/>
    <col min="7" max="9" width="16.42578125" style="551" customWidth="1"/>
    <col min="10" max="10" width="16" style="551" customWidth="1"/>
    <col min="11" max="11" width="11.140625" style="551" customWidth="1"/>
    <col min="12" max="12" width="25" style="550" hidden="1" customWidth="1"/>
    <col min="13" max="20" width="11.42578125" style="550" hidden="1" customWidth="1"/>
    <col min="21" max="21" width="16.140625" style="550" hidden="1" customWidth="1"/>
    <col min="22" max="16384" width="11.42578125" style="550"/>
  </cols>
  <sheetData>
    <row r="1" spans="1:23" ht="15.75" customHeight="1">
      <c r="A1"/>
      <c r="B1" s="602"/>
      <c r="C1" s="861" t="s">
        <v>461</v>
      </c>
      <c r="D1" s="861"/>
      <c r="E1" s="861"/>
      <c r="F1" s="604"/>
      <c r="G1" s="604"/>
      <c r="H1" s="604"/>
      <c r="I1" s="604"/>
      <c r="J1" s="604"/>
      <c r="K1" s="602"/>
      <c r="L1" s="602"/>
      <c r="M1" s="602"/>
      <c r="N1" s="602"/>
      <c r="O1" s="602"/>
      <c r="P1"/>
      <c r="Q1"/>
      <c r="R1"/>
      <c r="S1"/>
      <c r="T1"/>
      <c r="U1"/>
      <c r="V1"/>
      <c r="W1"/>
    </row>
    <row r="2" spans="1:23" ht="15.75" customHeight="1">
      <c r="A2"/>
      <c r="B2" s="602"/>
      <c r="C2" s="861" t="s">
        <v>983</v>
      </c>
      <c r="D2" s="861"/>
      <c r="E2" s="861"/>
      <c r="F2" s="604"/>
      <c r="G2" s="604"/>
      <c r="H2" s="604"/>
      <c r="I2" s="604"/>
      <c r="J2" s="604"/>
      <c r="K2" s="602"/>
      <c r="L2" s="602"/>
      <c r="M2" s="602"/>
      <c r="N2" s="602"/>
      <c r="O2" s="602"/>
      <c r="P2"/>
      <c r="Q2"/>
      <c r="R2"/>
      <c r="S2"/>
      <c r="T2"/>
      <c r="U2"/>
      <c r="V2"/>
      <c r="W2"/>
    </row>
    <row r="3" spans="1:23" ht="15.75" customHeight="1">
      <c r="A3" s="846" t="s">
        <v>191</v>
      </c>
      <c r="B3" s="602"/>
      <c r="C3" s="862">
        <v>44012</v>
      </c>
      <c r="D3" s="862"/>
      <c r="E3" s="862"/>
      <c r="F3" s="604"/>
      <c r="G3" s="604"/>
      <c r="H3" s="604"/>
      <c r="I3" s="604"/>
      <c r="J3" s="604"/>
      <c r="K3" s="602"/>
      <c r="L3" s="602"/>
      <c r="M3" s="602"/>
      <c r="N3" s="602"/>
      <c r="O3" s="602"/>
      <c r="P3"/>
      <c r="Q3"/>
      <c r="R3"/>
      <c r="S3"/>
      <c r="T3"/>
      <c r="U3"/>
      <c r="V3"/>
      <c r="W3"/>
    </row>
    <row r="4" spans="1:23" ht="15.75" customHeight="1">
      <c r="A4" s="607"/>
      <c r="B4" s="607"/>
      <c r="C4" s="607"/>
      <c r="D4" s="850"/>
      <c r="E4" s="850"/>
      <c r="F4" s="850"/>
      <c r="G4" s="850"/>
      <c r="H4" s="850"/>
      <c r="I4" s="608"/>
      <c r="J4" s="608"/>
      <c r="K4" s="607"/>
      <c r="L4" s="607"/>
      <c r="M4" s="607"/>
      <c r="N4" s="607"/>
      <c r="O4" s="607"/>
      <c r="P4"/>
      <c r="Q4"/>
      <c r="R4"/>
      <c r="S4"/>
      <c r="T4"/>
      <c r="U4"/>
      <c r="V4"/>
      <c r="W4"/>
    </row>
    <row r="5" spans="1:23" ht="15.75" customHeight="1">
      <c r="A5" s="607"/>
      <c r="B5" s="607"/>
      <c r="C5" s="607"/>
      <c r="D5" s="604"/>
      <c r="E5" s="604"/>
      <c r="F5" s="604"/>
      <c r="G5" s="604"/>
      <c r="H5" s="604"/>
      <c r="I5" s="850"/>
      <c r="J5" s="851"/>
      <c r="K5" s="420"/>
      <c r="L5" s="607"/>
      <c r="M5"/>
      <c r="N5" s="607"/>
      <c r="O5" s="607"/>
      <c r="P5"/>
      <c r="Q5"/>
      <c r="R5"/>
      <c r="S5"/>
      <c r="T5"/>
      <c r="U5"/>
      <c r="V5"/>
      <c r="W5"/>
    </row>
    <row r="6" spans="1:23" ht="31.5" customHeight="1">
      <c r="A6" s="640" t="s">
        <v>763</v>
      </c>
      <c r="B6" s="609" t="s">
        <v>439</v>
      </c>
      <c r="C6" s="609" t="s">
        <v>438</v>
      </c>
      <c r="D6" s="642" t="s">
        <v>766</v>
      </c>
      <c r="E6" s="642" t="s">
        <v>767</v>
      </c>
      <c r="F6" s="642" t="s">
        <v>768</v>
      </c>
      <c r="G6" s="642" t="s">
        <v>769</v>
      </c>
      <c r="H6" s="642" t="s">
        <v>770</v>
      </c>
      <c r="I6" s="822" t="s">
        <v>1070</v>
      </c>
      <c r="J6" s="643" t="s">
        <v>710</v>
      </c>
      <c r="K6" s="854" t="s">
        <v>1045</v>
      </c>
      <c r="L6" s="607"/>
      <c r="M6" s="420"/>
      <c r="N6" s="607" t="s">
        <v>198</v>
      </c>
      <c r="O6" s="607" t="s">
        <v>1046</v>
      </c>
      <c r="P6"/>
      <c r="Q6"/>
      <c r="R6"/>
      <c r="S6"/>
      <c r="T6"/>
      <c r="U6"/>
      <c r="V6"/>
      <c r="W6"/>
    </row>
    <row r="7" spans="1:23" ht="15.75" customHeight="1">
      <c r="A7" s="612" t="s">
        <v>384</v>
      </c>
      <c r="B7" s="613" t="s">
        <v>383</v>
      </c>
      <c r="C7" s="613" t="s">
        <v>385</v>
      </c>
      <c r="D7" s="387">
        <v>16262000</v>
      </c>
      <c r="E7" s="387">
        <v>1125000</v>
      </c>
      <c r="F7" s="387">
        <v>299050</v>
      </c>
      <c r="G7" s="387">
        <f>632000+8000</f>
        <v>640000</v>
      </c>
      <c r="H7" s="387">
        <v>10807500</v>
      </c>
      <c r="I7" s="387">
        <v>416400</v>
      </c>
      <c r="J7" s="387">
        <v>29549950</v>
      </c>
      <c r="K7" s="852">
        <f t="shared" ref="K7:K41" si="0">+D7/L7</f>
        <v>67.477178423236509</v>
      </c>
      <c r="L7" s="387">
        <v>241000</v>
      </c>
      <c r="M7" s="853"/>
      <c r="N7" s="613" t="s">
        <v>401</v>
      </c>
      <c r="O7"/>
      <c r="P7"/>
      <c r="Q7"/>
      <c r="R7"/>
      <c r="S7"/>
      <c r="T7"/>
      <c r="U7"/>
      <c r="V7"/>
      <c r="W7"/>
    </row>
    <row r="8" spans="1:23" ht="15.75" customHeight="1">
      <c r="A8" s="612" t="s">
        <v>384</v>
      </c>
      <c r="B8" s="613" t="s">
        <v>388</v>
      </c>
      <c r="C8" s="613" t="s">
        <v>389</v>
      </c>
      <c r="D8" s="387">
        <v>12584000</v>
      </c>
      <c r="E8" s="387">
        <v>945000</v>
      </c>
      <c r="F8" s="387">
        <v>300050</v>
      </c>
      <c r="G8" s="387">
        <v>0</v>
      </c>
      <c r="H8" s="387">
        <v>4903500</v>
      </c>
      <c r="I8" s="387">
        <v>385800</v>
      </c>
      <c r="J8" s="387">
        <v>19118350</v>
      </c>
      <c r="K8" s="852">
        <f t="shared" si="0"/>
        <v>42.228187919463089</v>
      </c>
      <c r="L8" s="387">
        <v>298000</v>
      </c>
      <c r="M8" s="853"/>
      <c r="N8" s="613" t="s">
        <v>403</v>
      </c>
      <c r="O8"/>
      <c r="P8"/>
      <c r="Q8"/>
      <c r="R8"/>
      <c r="S8"/>
      <c r="T8"/>
      <c r="U8"/>
      <c r="V8"/>
      <c r="W8"/>
    </row>
    <row r="9" spans="1:23" ht="15.75" customHeight="1">
      <c r="A9" s="612" t="s">
        <v>384</v>
      </c>
      <c r="B9" s="613" t="s">
        <v>392</v>
      </c>
      <c r="C9" s="613" t="s">
        <v>393</v>
      </c>
      <c r="D9" s="387">
        <v>7791000</v>
      </c>
      <c r="E9" s="387">
        <v>398550</v>
      </c>
      <c r="F9" s="387">
        <v>101000</v>
      </c>
      <c r="G9" s="387">
        <v>196000</v>
      </c>
      <c r="H9" s="387">
        <v>1157400</v>
      </c>
      <c r="I9" s="387">
        <v>135500</v>
      </c>
      <c r="J9" s="387">
        <v>9779450</v>
      </c>
      <c r="K9" s="852">
        <f t="shared" si="0"/>
        <v>19.095588235294116</v>
      </c>
      <c r="L9" s="387">
        <v>408000</v>
      </c>
      <c r="M9" s="853"/>
      <c r="N9" s="613" t="s">
        <v>425</v>
      </c>
      <c r="O9" s="387">
        <v>275000</v>
      </c>
      <c r="P9"/>
      <c r="Q9"/>
      <c r="R9"/>
      <c r="S9"/>
      <c r="T9"/>
      <c r="U9"/>
      <c r="V9"/>
      <c r="W9"/>
    </row>
    <row r="10" spans="1:23" ht="15.75" customHeight="1">
      <c r="A10" s="612" t="s">
        <v>384</v>
      </c>
      <c r="B10" s="613" t="s">
        <v>394</v>
      </c>
      <c r="C10" s="613" t="s">
        <v>395</v>
      </c>
      <c r="D10" s="387">
        <v>6179916</v>
      </c>
      <c r="E10" s="387">
        <v>0</v>
      </c>
      <c r="F10" s="387">
        <v>0</v>
      </c>
      <c r="G10" s="387">
        <v>0</v>
      </c>
      <c r="H10" s="387">
        <v>444800</v>
      </c>
      <c r="I10" s="387">
        <v>15900</v>
      </c>
      <c r="J10" s="387">
        <v>6640616</v>
      </c>
      <c r="K10" s="852">
        <f t="shared" si="0"/>
        <v>16.051729870129869</v>
      </c>
      <c r="L10" s="387">
        <v>385000</v>
      </c>
      <c r="M10" s="853"/>
      <c r="N10" s="613" t="s">
        <v>1064</v>
      </c>
      <c r="O10" s="387">
        <v>275000</v>
      </c>
      <c r="P10"/>
      <c r="Q10"/>
      <c r="R10"/>
      <c r="S10"/>
      <c r="T10"/>
      <c r="U10"/>
      <c r="V10"/>
      <c r="W10"/>
    </row>
    <row r="11" spans="1:23" ht="15.75" customHeight="1">
      <c r="A11" s="612" t="s">
        <v>384</v>
      </c>
      <c r="B11" s="613" t="s">
        <v>397</v>
      </c>
      <c r="C11" s="613" t="s">
        <v>398</v>
      </c>
      <c r="D11" s="387">
        <v>5432657</v>
      </c>
      <c r="E11" s="387">
        <v>0</v>
      </c>
      <c r="F11" s="387">
        <v>0</v>
      </c>
      <c r="G11" s="387">
        <v>0</v>
      </c>
      <c r="H11" s="387">
        <v>472700</v>
      </c>
      <c r="I11" s="387">
        <v>0</v>
      </c>
      <c r="J11" s="387">
        <v>5905357</v>
      </c>
      <c r="K11" s="852">
        <f t="shared" si="0"/>
        <v>14.110797402597402</v>
      </c>
      <c r="L11" s="387">
        <v>385000</v>
      </c>
      <c r="M11" s="853"/>
      <c r="N11" s="613" t="s">
        <v>729</v>
      </c>
      <c r="O11" s="387">
        <v>285000</v>
      </c>
      <c r="P11"/>
      <c r="Q11"/>
      <c r="R11"/>
      <c r="S11"/>
      <c r="T11"/>
      <c r="U11"/>
      <c r="V11"/>
      <c r="W11"/>
    </row>
    <row r="12" spans="1:23" ht="15.75" customHeight="1">
      <c r="A12" s="612" t="s">
        <v>384</v>
      </c>
      <c r="B12" s="613" t="s">
        <v>399</v>
      </c>
      <c r="C12" s="613" t="s">
        <v>772</v>
      </c>
      <c r="D12" s="387">
        <v>4754000</v>
      </c>
      <c r="E12" s="387">
        <v>0</v>
      </c>
      <c r="F12" s="387">
        <v>82750</v>
      </c>
      <c r="G12" s="387">
        <v>28000</v>
      </c>
      <c r="H12" s="387">
        <v>463000</v>
      </c>
      <c r="I12" s="387">
        <v>0</v>
      </c>
      <c r="J12" s="387">
        <v>5327750</v>
      </c>
      <c r="K12" s="852">
        <f t="shared" si="0"/>
        <v>13.544159544159545</v>
      </c>
      <c r="L12" s="387">
        <v>351000</v>
      </c>
      <c r="M12" s="853"/>
      <c r="N12" s="613" t="s">
        <v>1060</v>
      </c>
      <c r="O12" s="387">
        <v>323000</v>
      </c>
      <c r="P12"/>
      <c r="Q12"/>
      <c r="R12"/>
      <c r="S12"/>
      <c r="T12"/>
      <c r="U12"/>
      <c r="V12"/>
      <c r="W12"/>
    </row>
    <row r="13" spans="1:23" ht="15.75" customHeight="1">
      <c r="A13" s="612" t="s">
        <v>191</v>
      </c>
      <c r="B13" s="613" t="s">
        <v>396</v>
      </c>
      <c r="C13" s="613" t="s">
        <v>486</v>
      </c>
      <c r="D13" s="387">
        <v>4812800</v>
      </c>
      <c r="E13" s="387">
        <v>0</v>
      </c>
      <c r="F13" s="387">
        <v>80750</v>
      </c>
      <c r="G13" s="387">
        <v>0</v>
      </c>
      <c r="H13" s="387">
        <v>78800</v>
      </c>
      <c r="I13" s="387">
        <v>0</v>
      </c>
      <c r="J13" s="387">
        <v>4972350</v>
      </c>
      <c r="K13" s="852">
        <f t="shared" si="0"/>
        <v>14.072514619883041</v>
      </c>
      <c r="L13" s="842">
        <v>342000</v>
      </c>
      <c r="M13" s="853"/>
      <c r="N13" s="613" t="s">
        <v>383</v>
      </c>
      <c r="O13"/>
      <c r="P13"/>
      <c r="Q13"/>
      <c r="R13"/>
      <c r="S13"/>
      <c r="T13"/>
      <c r="U13"/>
      <c r="V13"/>
      <c r="W13"/>
    </row>
    <row r="14" spans="1:23" ht="15.75" customHeight="1">
      <c r="A14" s="612" t="s">
        <v>384</v>
      </c>
      <c r="B14" s="613" t="s">
        <v>405</v>
      </c>
      <c r="C14" s="613" t="s">
        <v>406</v>
      </c>
      <c r="D14" s="387">
        <v>4624249</v>
      </c>
      <c r="E14" s="387">
        <v>0</v>
      </c>
      <c r="F14" s="387">
        <v>0</v>
      </c>
      <c r="G14" s="387">
        <v>0</v>
      </c>
      <c r="H14" s="387">
        <v>188600</v>
      </c>
      <c r="I14" s="387">
        <v>0</v>
      </c>
      <c r="J14" s="387">
        <v>4812849</v>
      </c>
      <c r="K14" s="852">
        <f t="shared" si="0"/>
        <v>11.33394362745098</v>
      </c>
      <c r="L14" s="829">
        <v>408000</v>
      </c>
      <c r="M14" s="853"/>
      <c r="N14" s="613" t="s">
        <v>409</v>
      </c>
      <c r="O14"/>
      <c r="P14"/>
      <c r="Q14"/>
      <c r="R14"/>
      <c r="S14"/>
      <c r="T14"/>
      <c r="U14"/>
      <c r="V14"/>
      <c r="W14"/>
    </row>
    <row r="15" spans="1:23" ht="15.75" customHeight="1">
      <c r="A15" s="612" t="s">
        <v>384</v>
      </c>
      <c r="B15" s="613" t="s">
        <v>390</v>
      </c>
      <c r="C15" s="613" t="s">
        <v>391</v>
      </c>
      <c r="D15" s="387">
        <v>3886176</v>
      </c>
      <c r="E15" s="387">
        <v>0</v>
      </c>
      <c r="F15" s="387">
        <v>0</v>
      </c>
      <c r="G15" s="387">
        <v>0</v>
      </c>
      <c r="H15" s="387">
        <v>0</v>
      </c>
      <c r="I15" s="387">
        <v>0</v>
      </c>
      <c r="J15" s="387">
        <v>3886176</v>
      </c>
      <c r="K15" s="852">
        <f t="shared" si="0"/>
        <v>12.95392</v>
      </c>
      <c r="L15" s="837">
        <v>300000</v>
      </c>
      <c r="M15" s="853"/>
      <c r="N15" s="613" t="s">
        <v>405</v>
      </c>
      <c r="O15"/>
      <c r="P15"/>
      <c r="Q15"/>
      <c r="R15"/>
      <c r="S15"/>
      <c r="T15"/>
      <c r="U15"/>
      <c r="V15"/>
      <c r="W15"/>
    </row>
    <row r="16" spans="1:23" ht="15.75" customHeight="1">
      <c r="A16" s="612" t="s">
        <v>384</v>
      </c>
      <c r="B16" s="613" t="s">
        <v>401</v>
      </c>
      <c r="C16" s="613" t="s">
        <v>402</v>
      </c>
      <c r="D16" s="387">
        <v>3257740</v>
      </c>
      <c r="E16" s="387">
        <v>0</v>
      </c>
      <c r="F16" s="387">
        <v>65000</v>
      </c>
      <c r="G16" s="387">
        <v>56000</v>
      </c>
      <c r="H16" s="387">
        <v>220700</v>
      </c>
      <c r="I16" s="387">
        <v>0</v>
      </c>
      <c r="J16" s="387">
        <v>3599440</v>
      </c>
      <c r="K16" s="852">
        <f t="shared" si="0"/>
        <v>11.846327272727272</v>
      </c>
      <c r="L16" s="829">
        <v>275000</v>
      </c>
      <c r="M16" s="853"/>
      <c r="N16" s="613" t="s">
        <v>715</v>
      </c>
      <c r="O16" s="387">
        <v>399000</v>
      </c>
      <c r="P16"/>
      <c r="Q16"/>
      <c r="R16"/>
      <c r="S16"/>
      <c r="T16"/>
      <c r="U16"/>
      <c r="V16"/>
      <c r="W16"/>
    </row>
    <row r="17" spans="1:23" ht="15.75" customHeight="1">
      <c r="A17" s="612" t="s">
        <v>191</v>
      </c>
      <c r="B17" s="613" t="s">
        <v>639</v>
      </c>
      <c r="C17" s="613" t="s">
        <v>638</v>
      </c>
      <c r="D17" s="387">
        <v>1726200</v>
      </c>
      <c r="E17" s="387">
        <v>0</v>
      </c>
      <c r="F17" s="387">
        <v>0</v>
      </c>
      <c r="G17" s="387">
        <v>0</v>
      </c>
      <c r="H17" s="387">
        <v>0</v>
      </c>
      <c r="I17" s="387">
        <v>0</v>
      </c>
      <c r="J17" s="387">
        <v>1726200</v>
      </c>
      <c r="K17" s="852">
        <f t="shared" si="0"/>
        <v>4.2308823529411761</v>
      </c>
      <c r="L17" s="829">
        <v>408000</v>
      </c>
      <c r="M17" s="853"/>
      <c r="N17" s="613" t="s">
        <v>394</v>
      </c>
      <c r="O17"/>
      <c r="P17"/>
      <c r="Q17"/>
      <c r="R17"/>
      <c r="S17"/>
      <c r="T17"/>
      <c r="U17"/>
      <c r="V17"/>
      <c r="W17"/>
    </row>
    <row r="18" spans="1:23" ht="15.75" customHeight="1">
      <c r="A18" s="612" t="s">
        <v>191</v>
      </c>
      <c r="B18" s="613" t="s">
        <v>409</v>
      </c>
      <c r="C18" s="613" t="s">
        <v>410</v>
      </c>
      <c r="D18" s="387">
        <v>1277300</v>
      </c>
      <c r="E18" s="387">
        <v>0</v>
      </c>
      <c r="F18" s="387">
        <v>0</v>
      </c>
      <c r="G18" s="387">
        <v>0</v>
      </c>
      <c r="H18" s="387">
        <v>0</v>
      </c>
      <c r="I18" s="387">
        <v>0</v>
      </c>
      <c r="J18" s="387">
        <v>1277300</v>
      </c>
      <c r="K18" s="852">
        <f t="shared" si="0"/>
        <v>3.130637254901961</v>
      </c>
      <c r="L18" s="829">
        <v>408000</v>
      </c>
      <c r="M18" s="853"/>
      <c r="N18" s="613" t="s">
        <v>1062</v>
      </c>
      <c r="O18" s="829">
        <v>275000</v>
      </c>
      <c r="P18"/>
      <c r="Q18"/>
      <c r="R18"/>
      <c r="S18"/>
      <c r="T18"/>
      <c r="U18"/>
      <c r="V18"/>
      <c r="W18"/>
    </row>
    <row r="19" spans="1:23" ht="15.75" customHeight="1">
      <c r="A19" s="612" t="s">
        <v>191</v>
      </c>
      <c r="B19" s="613" t="s">
        <v>412</v>
      </c>
      <c r="C19" s="613" t="s">
        <v>413</v>
      </c>
      <c r="D19" s="387">
        <v>1167000</v>
      </c>
      <c r="E19" s="387">
        <v>0</v>
      </c>
      <c r="F19" s="387">
        <v>0</v>
      </c>
      <c r="G19" s="387">
        <v>0</v>
      </c>
      <c r="H19" s="387">
        <v>0</v>
      </c>
      <c r="I19" s="387">
        <v>0</v>
      </c>
      <c r="J19" s="387">
        <v>1167000</v>
      </c>
      <c r="K19" s="852">
        <f t="shared" si="0"/>
        <v>3</v>
      </c>
      <c r="L19" s="387">
        <v>389000</v>
      </c>
      <c r="M19" s="853"/>
      <c r="N19" s="613" t="s">
        <v>490</v>
      </c>
      <c r="O19"/>
      <c r="P19"/>
      <c r="Q19"/>
      <c r="R19"/>
      <c r="S19"/>
      <c r="T19"/>
      <c r="U19"/>
      <c r="V19"/>
      <c r="W19"/>
    </row>
    <row r="20" spans="1:23" ht="15.75" customHeight="1">
      <c r="A20" s="612" t="s">
        <v>191</v>
      </c>
      <c r="B20" s="613" t="s">
        <v>994</v>
      </c>
      <c r="C20" s="613" t="s">
        <v>995</v>
      </c>
      <c r="D20" s="387">
        <v>1110000</v>
      </c>
      <c r="E20" s="387">
        <v>0</v>
      </c>
      <c r="F20" s="387">
        <v>0</v>
      </c>
      <c r="G20" s="387">
        <v>0</v>
      </c>
      <c r="H20" s="387">
        <v>0</v>
      </c>
      <c r="I20" s="387">
        <v>0</v>
      </c>
      <c r="J20" s="387">
        <v>1110000</v>
      </c>
      <c r="K20" s="852">
        <f t="shared" si="0"/>
        <v>3</v>
      </c>
      <c r="L20" s="387">
        <v>370000</v>
      </c>
      <c r="M20" s="853"/>
      <c r="N20" s="613" t="s">
        <v>501</v>
      </c>
      <c r="O20" s="387">
        <v>351000</v>
      </c>
      <c r="P20"/>
      <c r="Q20"/>
      <c r="R20"/>
      <c r="S20"/>
      <c r="T20"/>
      <c r="U20"/>
      <c r="V20"/>
      <c r="W20"/>
    </row>
    <row r="21" spans="1:23" ht="15.75" customHeight="1">
      <c r="A21" s="612" t="s">
        <v>191</v>
      </c>
      <c r="B21" s="613" t="s">
        <v>403</v>
      </c>
      <c r="C21" s="613" t="s">
        <v>404</v>
      </c>
      <c r="D21" s="387">
        <v>947466</v>
      </c>
      <c r="E21" s="387">
        <v>0</v>
      </c>
      <c r="F21" s="387">
        <v>0</v>
      </c>
      <c r="G21" s="387">
        <v>0</v>
      </c>
      <c r="H21" s="387">
        <v>0</v>
      </c>
      <c r="I21" s="387">
        <v>0</v>
      </c>
      <c r="J21" s="387">
        <v>947466</v>
      </c>
      <c r="K21" s="852">
        <f t="shared" si="0"/>
        <v>2.4356452442159382</v>
      </c>
      <c r="L21" s="829">
        <v>389000</v>
      </c>
      <c r="M21" s="853"/>
      <c r="N21" s="613" t="s">
        <v>994</v>
      </c>
      <c r="O21"/>
      <c r="P21"/>
      <c r="Q21"/>
      <c r="R21"/>
      <c r="S21"/>
      <c r="T21"/>
      <c r="U21"/>
      <c r="V21"/>
      <c r="W21"/>
    </row>
    <row r="22" spans="1:23" ht="15.75" customHeight="1">
      <c r="A22" s="612" t="s">
        <v>191</v>
      </c>
      <c r="B22" s="613" t="s">
        <v>490</v>
      </c>
      <c r="C22" s="613" t="s">
        <v>489</v>
      </c>
      <c r="D22" s="387">
        <v>684000</v>
      </c>
      <c r="E22" s="387">
        <v>0</v>
      </c>
      <c r="F22" s="387">
        <v>0</v>
      </c>
      <c r="G22" s="387">
        <v>0</v>
      </c>
      <c r="H22" s="387">
        <v>0</v>
      </c>
      <c r="I22" s="387">
        <v>0</v>
      </c>
      <c r="J22" s="387">
        <v>684000</v>
      </c>
      <c r="K22" s="852">
        <f t="shared" si="0"/>
        <v>2</v>
      </c>
      <c r="L22" s="387">
        <v>342000</v>
      </c>
      <c r="M22" s="853"/>
      <c r="N22" s="613" t="s">
        <v>1010</v>
      </c>
      <c r="O22" s="607"/>
      <c r="P22"/>
      <c r="Q22"/>
      <c r="R22"/>
      <c r="S22"/>
      <c r="T22"/>
      <c r="U22"/>
      <c r="V22"/>
      <c r="W22"/>
    </row>
    <row r="23" spans="1:23" ht="15.75" customHeight="1">
      <c r="A23" s="612" t="s">
        <v>191</v>
      </c>
      <c r="B23" s="613" t="s">
        <v>780</v>
      </c>
      <c r="C23" s="613" t="s">
        <v>781</v>
      </c>
      <c r="D23" s="387">
        <v>684000</v>
      </c>
      <c r="E23" s="387">
        <v>0</v>
      </c>
      <c r="F23" s="387">
        <v>0</v>
      </c>
      <c r="G23" s="387">
        <v>0</v>
      </c>
      <c r="H23" s="387">
        <v>0</v>
      </c>
      <c r="I23" s="387">
        <v>0</v>
      </c>
      <c r="J23" s="387">
        <v>684000</v>
      </c>
      <c r="K23" s="852">
        <f t="shared" si="0"/>
        <v>2</v>
      </c>
      <c r="L23" s="387">
        <v>342000</v>
      </c>
      <c r="M23" s="853"/>
      <c r="N23" s="613" t="s">
        <v>1006</v>
      </c>
      <c r="O23" s="387">
        <v>275000</v>
      </c>
      <c r="P23"/>
      <c r="Q23"/>
      <c r="R23"/>
      <c r="S23"/>
      <c r="T23"/>
      <c r="U23"/>
      <c r="V23"/>
      <c r="W23"/>
    </row>
    <row r="24" spans="1:23" ht="15.75" customHeight="1">
      <c r="A24" s="612" t="s">
        <v>191</v>
      </c>
      <c r="B24" s="613" t="s">
        <v>414</v>
      </c>
      <c r="C24" s="613" t="s">
        <v>415</v>
      </c>
      <c r="D24" s="387">
        <v>566000</v>
      </c>
      <c r="E24" s="387">
        <v>0</v>
      </c>
      <c r="F24" s="387">
        <v>0</v>
      </c>
      <c r="G24" s="387">
        <v>0</v>
      </c>
      <c r="H24" s="387">
        <v>0</v>
      </c>
      <c r="I24" s="387">
        <v>0</v>
      </c>
      <c r="J24" s="387">
        <v>566000</v>
      </c>
      <c r="K24" s="852">
        <f t="shared" si="0"/>
        <v>1.2412280701754386</v>
      </c>
      <c r="L24" s="387">
        <v>456000</v>
      </c>
      <c r="M24" s="853"/>
      <c r="N24" s="613" t="s">
        <v>418</v>
      </c>
      <c r="O24" s="387">
        <v>351000</v>
      </c>
      <c r="P24"/>
      <c r="Q24"/>
      <c r="R24"/>
      <c r="S24"/>
      <c r="T24"/>
      <c r="U24"/>
      <c r="V24"/>
      <c r="W24"/>
    </row>
    <row r="25" spans="1:23" ht="15.75" customHeight="1">
      <c r="A25" s="612" t="s">
        <v>191</v>
      </c>
      <c r="B25" s="613" t="s">
        <v>1047</v>
      </c>
      <c r="C25" s="613" t="s">
        <v>1048</v>
      </c>
      <c r="D25" s="387">
        <v>437000</v>
      </c>
      <c r="E25" s="387">
        <v>0</v>
      </c>
      <c r="F25" s="387">
        <v>0</v>
      </c>
      <c r="G25" s="387">
        <v>0</v>
      </c>
      <c r="H25" s="387">
        <v>0</v>
      </c>
      <c r="I25" s="387">
        <v>0</v>
      </c>
      <c r="J25" s="387">
        <v>437000</v>
      </c>
      <c r="K25" s="852">
        <f t="shared" si="0"/>
        <v>1</v>
      </c>
      <c r="L25" s="387">
        <v>437000</v>
      </c>
      <c r="M25" s="853"/>
      <c r="N25" s="613" t="s">
        <v>399</v>
      </c>
      <c r="O25"/>
      <c r="P25"/>
      <c r="Q25"/>
      <c r="R25"/>
      <c r="S25"/>
      <c r="T25"/>
      <c r="U25"/>
      <c r="V25"/>
      <c r="W25"/>
    </row>
    <row r="26" spans="1:23" ht="15.75" customHeight="1">
      <c r="A26" s="612" t="s">
        <v>191</v>
      </c>
      <c r="B26" s="613" t="s">
        <v>1050</v>
      </c>
      <c r="C26" s="613" t="s">
        <v>1051</v>
      </c>
      <c r="D26" s="387">
        <v>408000</v>
      </c>
      <c r="E26" s="387">
        <v>0</v>
      </c>
      <c r="F26" s="387">
        <v>0</v>
      </c>
      <c r="G26" s="387">
        <v>0</v>
      </c>
      <c r="H26" s="387">
        <v>0</v>
      </c>
      <c r="I26" s="387">
        <v>0</v>
      </c>
      <c r="J26" s="387">
        <v>408000</v>
      </c>
      <c r="K26" s="852">
        <f t="shared" si="0"/>
        <v>1</v>
      </c>
      <c r="L26" s="387">
        <v>408000</v>
      </c>
      <c r="M26" s="853"/>
      <c r="N26" s="613" t="s">
        <v>521</v>
      </c>
      <c r="O26" s="387">
        <v>342000</v>
      </c>
      <c r="P26"/>
      <c r="Q26"/>
      <c r="R26"/>
      <c r="S26"/>
      <c r="T26"/>
      <c r="U26"/>
      <c r="V26"/>
      <c r="W26"/>
    </row>
    <row r="27" spans="1:23" ht="15.75" customHeight="1">
      <c r="A27" s="612" t="s">
        <v>191</v>
      </c>
      <c r="B27" s="613" t="s">
        <v>517</v>
      </c>
      <c r="C27" s="613" t="s">
        <v>516</v>
      </c>
      <c r="D27" s="387">
        <v>389000</v>
      </c>
      <c r="E27" s="387">
        <v>0</v>
      </c>
      <c r="F27" s="387">
        <v>0</v>
      </c>
      <c r="G27" s="387">
        <v>0</v>
      </c>
      <c r="H27" s="387">
        <v>0</v>
      </c>
      <c r="I27" s="387">
        <v>0</v>
      </c>
      <c r="J27" s="387">
        <v>389000</v>
      </c>
      <c r="K27" s="852">
        <f t="shared" si="0"/>
        <v>1</v>
      </c>
      <c r="L27" s="387">
        <v>389000</v>
      </c>
      <c r="M27" s="853"/>
      <c r="N27" s="613" t="s">
        <v>1008</v>
      </c>
      <c r="O27" s="387">
        <v>275000</v>
      </c>
      <c r="P27"/>
      <c r="Q27"/>
      <c r="R27"/>
      <c r="S27"/>
      <c r="T27"/>
      <c r="U27"/>
      <c r="V27"/>
      <c r="W27"/>
    </row>
    <row r="28" spans="1:23" ht="15.75" customHeight="1">
      <c r="A28" s="612" t="s">
        <v>191</v>
      </c>
      <c r="B28" s="613" t="s">
        <v>1098</v>
      </c>
      <c r="C28" s="613" t="s">
        <v>1099</v>
      </c>
      <c r="D28" s="387">
        <v>370000</v>
      </c>
      <c r="E28" s="387">
        <v>0</v>
      </c>
      <c r="F28" s="387">
        <v>0</v>
      </c>
      <c r="G28" s="387">
        <v>0</v>
      </c>
      <c r="H28" s="387">
        <v>0</v>
      </c>
      <c r="I28" s="387">
        <v>0</v>
      </c>
      <c r="J28" s="387">
        <v>370000</v>
      </c>
      <c r="K28" s="852">
        <f t="shared" si="0"/>
        <v>1</v>
      </c>
      <c r="L28" s="387">
        <v>370000</v>
      </c>
      <c r="M28" s="853"/>
      <c r="N28" s="613" t="s">
        <v>1052</v>
      </c>
      <c r="O28" s="387">
        <v>361000</v>
      </c>
      <c r="P28"/>
      <c r="Q28"/>
      <c r="R28"/>
      <c r="S28"/>
      <c r="T28"/>
      <c r="U28"/>
      <c r="V28"/>
      <c r="W28"/>
    </row>
    <row r="29" spans="1:23" ht="15.75" customHeight="1">
      <c r="A29" s="612" t="s">
        <v>191</v>
      </c>
      <c r="B29" s="613" t="s">
        <v>1100</v>
      </c>
      <c r="C29" s="613" t="s">
        <v>1101</v>
      </c>
      <c r="D29" s="387">
        <v>370000</v>
      </c>
      <c r="E29" s="387">
        <v>0</v>
      </c>
      <c r="F29" s="387">
        <v>0</v>
      </c>
      <c r="G29" s="387">
        <v>0</v>
      </c>
      <c r="H29" s="387">
        <v>0</v>
      </c>
      <c r="I29" s="387">
        <v>0</v>
      </c>
      <c r="J29" s="387">
        <v>370000</v>
      </c>
      <c r="K29" s="852">
        <f t="shared" si="0"/>
        <v>1</v>
      </c>
      <c r="L29" s="387">
        <v>370000</v>
      </c>
      <c r="M29" s="853"/>
      <c r="N29" s="613" t="s">
        <v>1058</v>
      </c>
      <c r="O29" s="387">
        <v>304000</v>
      </c>
      <c r="P29"/>
      <c r="Q29"/>
      <c r="R29"/>
      <c r="S29"/>
      <c r="T29"/>
      <c r="U29"/>
      <c r="V29"/>
      <c r="W29"/>
    </row>
    <row r="30" spans="1:23" ht="15.75" customHeight="1">
      <c r="A30" s="612" t="s">
        <v>191</v>
      </c>
      <c r="B30" s="613" t="s">
        <v>523</v>
      </c>
      <c r="C30" s="613" t="s">
        <v>522</v>
      </c>
      <c r="D30" s="387">
        <v>361000</v>
      </c>
      <c r="E30" s="387">
        <v>0</v>
      </c>
      <c r="F30" s="387">
        <v>0</v>
      </c>
      <c r="G30" s="387">
        <v>0</v>
      </c>
      <c r="H30" s="387">
        <v>0</v>
      </c>
      <c r="I30" s="387">
        <v>0</v>
      </c>
      <c r="J30" s="387">
        <v>361000</v>
      </c>
      <c r="K30" s="852">
        <f t="shared" si="0"/>
        <v>1</v>
      </c>
      <c r="L30" s="387">
        <v>361000</v>
      </c>
      <c r="M30" s="853"/>
      <c r="N30" s="613" t="s">
        <v>442</v>
      </c>
      <c r="O30" s="387">
        <v>304000</v>
      </c>
      <c r="P30"/>
      <c r="Q30"/>
      <c r="R30"/>
      <c r="S30"/>
      <c r="T30"/>
      <c r="U30"/>
      <c r="V30"/>
      <c r="W30"/>
    </row>
    <row r="31" spans="1:23" ht="15.75" customHeight="1">
      <c r="A31" s="612" t="s">
        <v>191</v>
      </c>
      <c r="B31" s="613" t="s">
        <v>386</v>
      </c>
      <c r="C31" s="613" t="s">
        <v>1102</v>
      </c>
      <c r="D31" s="387">
        <v>361000</v>
      </c>
      <c r="E31" s="387">
        <v>0</v>
      </c>
      <c r="F31" s="387">
        <v>0</v>
      </c>
      <c r="G31" s="387">
        <v>0</v>
      </c>
      <c r="H31" s="387">
        <v>0</v>
      </c>
      <c r="I31" s="387">
        <v>0</v>
      </c>
      <c r="J31" s="387">
        <v>361000</v>
      </c>
      <c r="K31" s="852">
        <f t="shared" si="0"/>
        <v>1</v>
      </c>
      <c r="L31" s="387">
        <v>361000</v>
      </c>
      <c r="M31" s="853"/>
      <c r="N31" s="613" t="s">
        <v>397</v>
      </c>
      <c r="O31"/>
      <c r="P31"/>
      <c r="Q31"/>
      <c r="R31"/>
      <c r="S31"/>
      <c r="T31"/>
      <c r="U31"/>
      <c r="V31"/>
      <c r="W31"/>
    </row>
    <row r="32" spans="1:23" ht="15.75" customHeight="1">
      <c r="A32" s="612" t="s">
        <v>191</v>
      </c>
      <c r="B32" s="613" t="s">
        <v>1056</v>
      </c>
      <c r="C32" s="613" t="s">
        <v>1057</v>
      </c>
      <c r="D32" s="387">
        <v>355000</v>
      </c>
      <c r="E32" s="387">
        <v>0</v>
      </c>
      <c r="F32" s="387">
        <v>0</v>
      </c>
      <c r="G32" s="387">
        <v>0</v>
      </c>
      <c r="H32" s="387">
        <v>0</v>
      </c>
      <c r="I32" s="387">
        <v>0</v>
      </c>
      <c r="J32" s="387">
        <v>355000</v>
      </c>
      <c r="K32" s="852">
        <f t="shared" si="0"/>
        <v>1</v>
      </c>
      <c r="L32" s="387">
        <v>355000</v>
      </c>
      <c r="M32" s="853"/>
      <c r="N32" s="613" t="s">
        <v>639</v>
      </c>
      <c r="O32"/>
      <c r="P32"/>
      <c r="Q32"/>
      <c r="R32"/>
      <c r="S32"/>
      <c r="T32"/>
      <c r="U32"/>
      <c r="V32"/>
      <c r="W32"/>
    </row>
    <row r="33" spans="1:23" ht="15.75" customHeight="1">
      <c r="A33" s="612" t="s">
        <v>191</v>
      </c>
      <c r="B33" s="613" t="s">
        <v>778</v>
      </c>
      <c r="C33" s="613" t="s">
        <v>779</v>
      </c>
      <c r="D33" s="387">
        <v>351000</v>
      </c>
      <c r="E33" s="387">
        <v>0</v>
      </c>
      <c r="F33" s="387">
        <v>0</v>
      </c>
      <c r="G33" s="387">
        <v>0</v>
      </c>
      <c r="H33" s="387">
        <v>0</v>
      </c>
      <c r="I33" s="387">
        <v>0</v>
      </c>
      <c r="J33" s="387">
        <v>351000</v>
      </c>
      <c r="K33" s="852">
        <f t="shared" si="0"/>
        <v>1</v>
      </c>
      <c r="L33" s="387">
        <v>351000</v>
      </c>
      <c r="M33" s="853"/>
      <c r="N33" s="613" t="s">
        <v>1054</v>
      </c>
      <c r="O33" s="387">
        <v>361000</v>
      </c>
      <c r="P33"/>
      <c r="Q33"/>
      <c r="R33"/>
      <c r="S33"/>
      <c r="T33"/>
      <c r="U33"/>
      <c r="V33"/>
      <c r="W33"/>
    </row>
    <row r="34" spans="1:23" ht="15.75" customHeight="1">
      <c r="A34" s="612" t="s">
        <v>191</v>
      </c>
      <c r="B34" s="613" t="s">
        <v>478</v>
      </c>
      <c r="C34" s="613" t="s">
        <v>477</v>
      </c>
      <c r="D34" s="387">
        <v>351000</v>
      </c>
      <c r="E34" s="387">
        <v>0</v>
      </c>
      <c r="F34" s="387">
        <v>0</v>
      </c>
      <c r="G34" s="387">
        <v>0</v>
      </c>
      <c r="H34" s="387">
        <v>0</v>
      </c>
      <c r="I34" s="387">
        <v>0</v>
      </c>
      <c r="J34" s="387">
        <v>351000</v>
      </c>
      <c r="K34" s="852">
        <f t="shared" si="0"/>
        <v>1</v>
      </c>
      <c r="L34" s="387">
        <v>351000</v>
      </c>
      <c r="M34" s="853"/>
      <c r="N34" s="613" t="s">
        <v>733</v>
      </c>
      <c r="O34" s="387">
        <v>408000</v>
      </c>
      <c r="P34"/>
      <c r="Q34"/>
      <c r="R34"/>
      <c r="S34"/>
      <c r="T34"/>
      <c r="U34"/>
      <c r="V34"/>
      <c r="W34"/>
    </row>
    <row r="35" spans="1:23" ht="15.75" customHeight="1">
      <c r="A35" s="612" t="s">
        <v>191</v>
      </c>
      <c r="B35" s="613" t="s">
        <v>1103</v>
      </c>
      <c r="C35" s="613" t="s">
        <v>1104</v>
      </c>
      <c r="D35" s="387">
        <v>323000</v>
      </c>
      <c r="E35" s="387">
        <v>0</v>
      </c>
      <c r="F35" s="387">
        <v>0</v>
      </c>
      <c r="G35" s="387">
        <v>0</v>
      </c>
      <c r="H35" s="387">
        <v>0</v>
      </c>
      <c r="I35" s="387">
        <v>0</v>
      </c>
      <c r="J35" s="387">
        <v>323000</v>
      </c>
      <c r="K35" s="852">
        <f t="shared" si="0"/>
        <v>1</v>
      </c>
      <c r="L35" s="387">
        <v>323000</v>
      </c>
      <c r="M35" s="853"/>
      <c r="N35" s="613" t="s">
        <v>1050</v>
      </c>
      <c r="O35"/>
      <c r="P35"/>
      <c r="Q35"/>
      <c r="R35"/>
      <c r="S35"/>
      <c r="T35"/>
      <c r="U35"/>
      <c r="V35"/>
      <c r="W35"/>
    </row>
    <row r="36" spans="1:23" ht="15.75" customHeight="1">
      <c r="A36" s="612" t="s">
        <v>191</v>
      </c>
      <c r="B36" s="613" t="s">
        <v>645</v>
      </c>
      <c r="C36" s="613" t="s">
        <v>644</v>
      </c>
      <c r="D36" s="387">
        <v>285000</v>
      </c>
      <c r="E36" s="387">
        <v>0</v>
      </c>
      <c r="F36" s="387">
        <v>0</v>
      </c>
      <c r="G36" s="387">
        <v>0</v>
      </c>
      <c r="H36" s="387">
        <v>0</v>
      </c>
      <c r="I36" s="387">
        <v>0</v>
      </c>
      <c r="J36" s="387">
        <v>285000</v>
      </c>
      <c r="K36" s="852">
        <f t="shared" si="0"/>
        <v>1</v>
      </c>
      <c r="L36" s="387">
        <v>285000</v>
      </c>
      <c r="M36" s="853"/>
      <c r="N36" s="613" t="s">
        <v>780</v>
      </c>
      <c r="O36"/>
      <c r="P36"/>
      <c r="Q36"/>
      <c r="R36"/>
      <c r="S36"/>
      <c r="T36"/>
      <c r="U36"/>
      <c r="V36"/>
      <c r="W36"/>
    </row>
    <row r="37" spans="1:23" ht="15.75" customHeight="1">
      <c r="A37" s="612" t="s">
        <v>191</v>
      </c>
      <c r="B37" s="613" t="s">
        <v>664</v>
      </c>
      <c r="C37" s="613" t="s">
        <v>663</v>
      </c>
      <c r="D37" s="387">
        <v>285000</v>
      </c>
      <c r="E37" s="387">
        <v>0</v>
      </c>
      <c r="F37" s="387">
        <v>0</v>
      </c>
      <c r="G37" s="387">
        <v>0</v>
      </c>
      <c r="H37" s="387">
        <v>0</v>
      </c>
      <c r="I37" s="387">
        <v>0</v>
      </c>
      <c r="J37" s="387">
        <v>285000</v>
      </c>
      <c r="K37" s="852">
        <f t="shared" si="0"/>
        <v>1</v>
      </c>
      <c r="L37" s="387">
        <v>285000</v>
      </c>
      <c r="M37" s="853"/>
      <c r="N37" s="613" t="s">
        <v>473</v>
      </c>
      <c r="O37" s="387">
        <v>399000</v>
      </c>
      <c r="P37"/>
      <c r="Q37"/>
      <c r="R37"/>
      <c r="S37"/>
      <c r="T37"/>
      <c r="U37"/>
      <c r="V37"/>
      <c r="W37"/>
    </row>
    <row r="38" spans="1:23" ht="15.75" customHeight="1">
      <c r="A38" s="612" t="s">
        <v>191</v>
      </c>
      <c r="B38" s="613" t="s">
        <v>1064</v>
      </c>
      <c r="C38" s="613" t="s">
        <v>1065</v>
      </c>
      <c r="D38" s="387">
        <v>275000</v>
      </c>
      <c r="E38" s="387">
        <v>0</v>
      </c>
      <c r="F38" s="387">
        <v>0</v>
      </c>
      <c r="G38" s="387">
        <v>0</v>
      </c>
      <c r="H38" s="387">
        <v>0</v>
      </c>
      <c r="I38" s="387">
        <v>0</v>
      </c>
      <c r="J38" s="387">
        <v>275000</v>
      </c>
      <c r="K38" s="852">
        <f t="shared" si="0"/>
        <v>1</v>
      </c>
      <c r="L38" s="387">
        <v>275000</v>
      </c>
      <c r="M38" s="853"/>
      <c r="N38" s="613" t="s">
        <v>722</v>
      </c>
      <c r="O38" s="387">
        <v>427000</v>
      </c>
      <c r="P38"/>
      <c r="Q38"/>
      <c r="R38"/>
      <c r="S38"/>
      <c r="T38"/>
      <c r="U38"/>
      <c r="V38"/>
      <c r="W38"/>
    </row>
    <row r="39" spans="1:23" ht="15.75" customHeight="1">
      <c r="A39" s="612" t="s">
        <v>191</v>
      </c>
      <c r="B39" s="613" t="s">
        <v>427</v>
      </c>
      <c r="C39" s="613" t="s">
        <v>428</v>
      </c>
      <c r="D39" s="387">
        <v>275000</v>
      </c>
      <c r="E39" s="387">
        <v>0</v>
      </c>
      <c r="F39" s="387">
        <v>0</v>
      </c>
      <c r="G39" s="387">
        <v>0</v>
      </c>
      <c r="H39" s="387">
        <v>0</v>
      </c>
      <c r="I39" s="387">
        <v>0</v>
      </c>
      <c r="J39" s="387">
        <v>275000</v>
      </c>
      <c r="K39" s="852">
        <f t="shared" si="0"/>
        <v>1</v>
      </c>
      <c r="L39" s="387">
        <v>275000</v>
      </c>
      <c r="M39" s="853"/>
      <c r="N39" s="613" t="s">
        <v>641</v>
      </c>
      <c r="O39"/>
      <c r="P39"/>
      <c r="Q39"/>
      <c r="R39"/>
      <c r="S39"/>
      <c r="T39"/>
      <c r="U39"/>
      <c r="V39"/>
      <c r="W39"/>
    </row>
    <row r="40" spans="1:23" ht="15.75" customHeight="1">
      <c r="A40" s="612" t="s">
        <v>191</v>
      </c>
      <c r="B40" s="613" t="s">
        <v>1006</v>
      </c>
      <c r="C40" s="613" t="s">
        <v>1007</v>
      </c>
      <c r="D40" s="387">
        <v>275000</v>
      </c>
      <c r="E40" s="387">
        <v>0</v>
      </c>
      <c r="F40" s="387">
        <v>0</v>
      </c>
      <c r="G40" s="387">
        <v>0</v>
      </c>
      <c r="H40" s="387">
        <v>0</v>
      </c>
      <c r="I40" s="387">
        <v>0</v>
      </c>
      <c r="J40" s="387">
        <v>275000</v>
      </c>
      <c r="K40" s="852">
        <f t="shared" si="0"/>
        <v>1</v>
      </c>
      <c r="L40" s="387">
        <v>275000</v>
      </c>
      <c r="M40" s="853"/>
      <c r="N40" s="613" t="s">
        <v>990</v>
      </c>
      <c r="O40" s="387">
        <v>408000</v>
      </c>
      <c r="P40"/>
      <c r="Q40"/>
      <c r="R40"/>
      <c r="S40"/>
      <c r="T40"/>
      <c r="U40"/>
      <c r="V40"/>
      <c r="W40"/>
    </row>
    <row r="41" spans="1:23" ht="15.75" customHeight="1">
      <c r="A41" s="612" t="s">
        <v>191</v>
      </c>
      <c r="B41" s="613" t="s">
        <v>1008</v>
      </c>
      <c r="C41" s="613" t="s">
        <v>1009</v>
      </c>
      <c r="D41" s="387">
        <v>275000</v>
      </c>
      <c r="E41" s="387">
        <v>0</v>
      </c>
      <c r="F41" s="387">
        <v>0</v>
      </c>
      <c r="G41" s="387">
        <v>0</v>
      </c>
      <c r="H41" s="387">
        <v>0</v>
      </c>
      <c r="I41" s="387">
        <v>0</v>
      </c>
      <c r="J41" s="387">
        <v>275000</v>
      </c>
      <c r="K41" s="852">
        <f t="shared" si="0"/>
        <v>1</v>
      </c>
      <c r="L41" s="387">
        <v>275000</v>
      </c>
      <c r="M41" s="853"/>
      <c r="N41" s="613" t="s">
        <v>1047</v>
      </c>
      <c r="O41"/>
      <c r="P41"/>
      <c r="Q41"/>
      <c r="R41"/>
      <c r="S41"/>
      <c r="T41"/>
      <c r="U41"/>
      <c r="V41"/>
      <c r="W41"/>
    </row>
    <row r="42" spans="1:23" ht="15.75" customHeight="1">
      <c r="A42" s="612" t="s">
        <v>191</v>
      </c>
      <c r="B42" s="613" t="s">
        <v>407</v>
      </c>
      <c r="C42" s="613" t="s">
        <v>408</v>
      </c>
      <c r="D42" s="387">
        <v>220600</v>
      </c>
      <c r="E42" s="387">
        <v>0</v>
      </c>
      <c r="F42" s="387">
        <v>0</v>
      </c>
      <c r="G42" s="387">
        <v>0</v>
      </c>
      <c r="H42" s="387">
        <v>0</v>
      </c>
      <c r="I42" s="387">
        <v>0</v>
      </c>
      <c r="J42" s="387">
        <v>220600</v>
      </c>
      <c r="K42" s="852"/>
      <c r="L42" s="852"/>
      <c r="M42" s="853"/>
      <c r="N42" s="613" t="s">
        <v>414</v>
      </c>
      <c r="O42"/>
      <c r="P42"/>
      <c r="Q42"/>
      <c r="R42"/>
      <c r="S42"/>
      <c r="T42"/>
      <c r="U42"/>
      <c r="V42"/>
      <c r="W42"/>
    </row>
    <row r="43" spans="1:23" ht="15.75" customHeight="1">
      <c r="A43" s="612" t="s">
        <v>191</v>
      </c>
      <c r="B43" s="613" t="s">
        <v>625</v>
      </c>
      <c r="C43" s="613" t="s">
        <v>624</v>
      </c>
      <c r="D43" s="387">
        <v>193000</v>
      </c>
      <c r="E43" s="387">
        <v>0</v>
      </c>
      <c r="F43" s="387">
        <v>0</v>
      </c>
      <c r="G43" s="387">
        <v>0</v>
      </c>
      <c r="H43" s="387">
        <v>0</v>
      </c>
      <c r="I43" s="387">
        <v>0</v>
      </c>
      <c r="J43" s="387">
        <v>193000</v>
      </c>
      <c r="K43" s="852"/>
      <c r="L43" s="852"/>
      <c r="M43" s="853"/>
      <c r="N43" s="613" t="s">
        <v>388</v>
      </c>
      <c r="O43"/>
      <c r="P43"/>
      <c r="Q43"/>
      <c r="R43"/>
      <c r="S43"/>
      <c r="T43"/>
      <c r="U43"/>
      <c r="V43"/>
      <c r="W43"/>
    </row>
    <row r="44" spans="1:23" ht="15.75" customHeight="1">
      <c r="A44" s="612" t="s">
        <v>191</v>
      </c>
      <c r="B44" s="613" t="s">
        <v>505</v>
      </c>
      <c r="C44" s="613" t="s">
        <v>504</v>
      </c>
      <c r="D44" s="387">
        <v>188250</v>
      </c>
      <c r="E44" s="387">
        <v>0</v>
      </c>
      <c r="F44" s="387">
        <v>0</v>
      </c>
      <c r="G44" s="387">
        <v>0</v>
      </c>
      <c r="H44" s="387">
        <v>0</v>
      </c>
      <c r="I44" s="387">
        <v>0</v>
      </c>
      <c r="J44" s="387">
        <v>188250</v>
      </c>
      <c r="K44" s="852"/>
      <c r="L44" s="852"/>
      <c r="M44" s="853"/>
      <c r="N44" s="613" t="s">
        <v>412</v>
      </c>
      <c r="O44"/>
      <c r="P44"/>
      <c r="Q44"/>
      <c r="R44"/>
      <c r="S44"/>
      <c r="T44"/>
      <c r="U44"/>
      <c r="V44"/>
      <c r="W44"/>
    </row>
    <row r="45" spans="1:23" ht="15.75" customHeight="1">
      <c r="A45" s="612" t="s">
        <v>191</v>
      </c>
      <c r="B45" s="613" t="s">
        <v>418</v>
      </c>
      <c r="C45" s="613" t="s">
        <v>419</v>
      </c>
      <c r="D45" s="387">
        <v>162600</v>
      </c>
      <c r="E45" s="387">
        <v>0</v>
      </c>
      <c r="F45" s="387">
        <v>0</v>
      </c>
      <c r="G45" s="387">
        <v>0</v>
      </c>
      <c r="H45" s="387">
        <v>0</v>
      </c>
      <c r="I45" s="387">
        <v>0</v>
      </c>
      <c r="J45" s="387">
        <v>162600</v>
      </c>
      <c r="K45" s="852"/>
      <c r="L45" s="852"/>
      <c r="M45" s="853"/>
      <c r="N45" s="613" t="s">
        <v>396</v>
      </c>
      <c r="O45"/>
      <c r="P45"/>
      <c r="Q45"/>
      <c r="R45"/>
      <c r="S45"/>
      <c r="T45"/>
      <c r="U45"/>
      <c r="V45"/>
      <c r="W45"/>
    </row>
    <row r="46" spans="1:23" ht="15.75" customHeight="1">
      <c r="A46" s="612" t="s">
        <v>191</v>
      </c>
      <c r="B46" s="613" t="s">
        <v>784</v>
      </c>
      <c r="C46" s="613" t="s">
        <v>785</v>
      </c>
      <c r="D46" s="387">
        <v>45700</v>
      </c>
      <c r="E46" s="387">
        <v>0</v>
      </c>
      <c r="F46" s="387">
        <v>0</v>
      </c>
      <c r="G46" s="387">
        <v>0</v>
      </c>
      <c r="H46" s="387">
        <v>0</v>
      </c>
      <c r="I46" s="387">
        <v>0</v>
      </c>
      <c r="J46" s="387">
        <v>45700</v>
      </c>
      <c r="K46" s="852"/>
      <c r="L46" s="852"/>
      <c r="M46" s="853"/>
      <c r="N46" s="613" t="s">
        <v>1056</v>
      </c>
      <c r="O46"/>
      <c r="P46"/>
      <c r="Q46"/>
      <c r="R46"/>
      <c r="S46"/>
      <c r="T46"/>
      <c r="U46"/>
      <c r="V46"/>
      <c r="W46"/>
    </row>
    <row r="47" spans="1:23" ht="15.75" customHeight="1">
      <c r="A47" s="612" t="s">
        <v>191</v>
      </c>
      <c r="B47" s="613" t="s">
        <v>512</v>
      </c>
      <c r="C47" s="613" t="s">
        <v>511</v>
      </c>
      <c r="D47" s="387">
        <v>37400</v>
      </c>
      <c r="E47" s="387">
        <v>0</v>
      </c>
      <c r="F47" s="387">
        <v>0</v>
      </c>
      <c r="G47" s="387">
        <v>0</v>
      </c>
      <c r="H47" s="387">
        <v>0</v>
      </c>
      <c r="I47" s="387">
        <v>0</v>
      </c>
      <c r="J47" s="387">
        <v>37400</v>
      </c>
      <c r="K47" s="852"/>
      <c r="L47" s="852"/>
      <c r="M47" s="853"/>
      <c r="N47" s="613" t="s">
        <v>390</v>
      </c>
      <c r="O47"/>
      <c r="P47"/>
      <c r="Q47"/>
      <c r="R47"/>
      <c r="S47"/>
      <c r="T47"/>
      <c r="U47"/>
      <c r="V47"/>
      <c r="W47"/>
    </row>
    <row r="48" spans="1:23" ht="15.75" customHeight="1">
      <c r="A48" s="612" t="s">
        <v>191</v>
      </c>
      <c r="B48" s="613" t="s">
        <v>651</v>
      </c>
      <c r="C48" s="613" t="s">
        <v>650</v>
      </c>
      <c r="D48" s="387">
        <v>28000</v>
      </c>
      <c r="E48" s="387">
        <v>0</v>
      </c>
      <c r="F48" s="387">
        <v>0</v>
      </c>
      <c r="G48" s="387">
        <v>0</v>
      </c>
      <c r="H48" s="387">
        <v>0</v>
      </c>
      <c r="I48" s="387">
        <v>0</v>
      </c>
      <c r="J48" s="387">
        <v>28000</v>
      </c>
      <c r="K48" s="852"/>
      <c r="L48" s="852"/>
      <c r="M48" s="853"/>
      <c r="N48" s="613" t="s">
        <v>407</v>
      </c>
      <c r="O48" s="387">
        <v>380000</v>
      </c>
      <c r="P48"/>
      <c r="Q48"/>
      <c r="R48"/>
      <c r="S48"/>
      <c r="T48"/>
      <c r="U48"/>
      <c r="V48"/>
      <c r="W48"/>
    </row>
    <row r="49" spans="1:23" ht="15.75" customHeight="1">
      <c r="A49" s="612" t="s">
        <v>191</v>
      </c>
      <c r="B49" s="613" t="s">
        <v>986</v>
      </c>
      <c r="C49" s="613" t="s">
        <v>987</v>
      </c>
      <c r="D49" s="387">
        <v>0</v>
      </c>
      <c r="E49" s="387">
        <v>0</v>
      </c>
      <c r="F49" s="387">
        <v>0</v>
      </c>
      <c r="G49" s="387">
        <v>28000</v>
      </c>
      <c r="H49" s="387">
        <v>0</v>
      </c>
      <c r="I49" s="387">
        <v>0</v>
      </c>
      <c r="J49" s="387">
        <v>28000</v>
      </c>
      <c r="K49" s="852"/>
      <c r="L49" s="852"/>
      <c r="M49" s="853"/>
      <c r="N49" s="613" t="s">
        <v>1002</v>
      </c>
      <c r="O49" s="387">
        <v>342000</v>
      </c>
      <c r="P49"/>
      <c r="Q49"/>
      <c r="R49"/>
      <c r="S49"/>
      <c r="T49"/>
      <c r="U49"/>
      <c r="V49"/>
      <c r="W49"/>
    </row>
    <row r="50" spans="1:23" ht="15.75" customHeight="1">
      <c r="A50" s="612" t="s">
        <v>191</v>
      </c>
      <c r="B50" s="613" t="s">
        <v>420</v>
      </c>
      <c r="C50" s="613" t="s">
        <v>421</v>
      </c>
      <c r="D50" s="387">
        <v>22000</v>
      </c>
      <c r="E50" s="387">
        <v>0</v>
      </c>
      <c r="F50" s="387">
        <v>0</v>
      </c>
      <c r="G50" s="387">
        <v>0</v>
      </c>
      <c r="H50" s="387">
        <v>0</v>
      </c>
      <c r="I50" s="387">
        <v>0</v>
      </c>
      <c r="J50" s="387">
        <v>22000</v>
      </c>
      <c r="K50" s="852"/>
      <c r="L50" s="852"/>
      <c r="M50" s="853"/>
      <c r="N50" s="853"/>
      <c r="O50" s="607"/>
      <c r="P50"/>
      <c r="Q50"/>
      <c r="R50"/>
      <c r="S50"/>
      <c r="T50"/>
      <c r="U50"/>
      <c r="V50"/>
      <c r="W50"/>
    </row>
    <row r="51" spans="1:23" ht="15.75" customHeight="1">
      <c r="A51" s="612" t="s">
        <v>191</v>
      </c>
      <c r="B51" s="613" t="s">
        <v>659</v>
      </c>
      <c r="C51" s="613" t="s">
        <v>658</v>
      </c>
      <c r="D51" s="387">
        <v>19400</v>
      </c>
      <c r="E51" s="387">
        <v>0</v>
      </c>
      <c r="F51" s="387">
        <v>0</v>
      </c>
      <c r="G51" s="387">
        <v>0</v>
      </c>
      <c r="H51" s="387">
        <v>0</v>
      </c>
      <c r="I51" s="387">
        <v>0</v>
      </c>
      <c r="J51" s="387">
        <v>19400</v>
      </c>
      <c r="K51" s="852"/>
      <c r="L51" s="852"/>
      <c r="M51" s="853"/>
      <c r="N51" s="853"/>
      <c r="O51" s="607"/>
      <c r="P51"/>
      <c r="Q51"/>
      <c r="R51"/>
      <c r="S51"/>
      <c r="T51"/>
      <c r="U51"/>
      <c r="V51"/>
      <c r="W51"/>
    </row>
    <row r="52" spans="1:23" ht="15.75" customHeight="1">
      <c r="A52" s="612" t="s">
        <v>191</v>
      </c>
      <c r="B52" s="613" t="s">
        <v>1105</v>
      </c>
      <c r="C52" s="613" t="s">
        <v>1106</v>
      </c>
      <c r="D52" s="387">
        <v>10000</v>
      </c>
      <c r="E52" s="387">
        <v>0</v>
      </c>
      <c r="F52" s="387">
        <v>0</v>
      </c>
      <c r="G52" s="387">
        <v>0</v>
      </c>
      <c r="H52" s="387">
        <v>0</v>
      </c>
      <c r="I52" s="387">
        <v>0</v>
      </c>
      <c r="J52" s="387">
        <v>10000</v>
      </c>
      <c r="K52" s="852"/>
      <c r="L52" s="852"/>
      <c r="M52" s="853"/>
      <c r="N52" s="853"/>
      <c r="O52" s="607"/>
      <c r="P52"/>
      <c r="Q52"/>
      <c r="R52"/>
      <c r="S52"/>
      <c r="T52"/>
      <c r="U52"/>
      <c r="V52"/>
      <c r="W52"/>
    </row>
    <row r="53" spans="1:23" ht="15.75" customHeight="1">
      <c r="A53" s="612" t="s">
        <v>191</v>
      </c>
      <c r="B53" s="613" t="s">
        <v>641</v>
      </c>
      <c r="C53" s="613" t="s">
        <v>640</v>
      </c>
      <c r="D53" s="387">
        <v>1900</v>
      </c>
      <c r="E53" s="387">
        <v>0</v>
      </c>
      <c r="F53" s="387">
        <v>0</v>
      </c>
      <c r="G53" s="387">
        <v>0</v>
      </c>
      <c r="H53" s="387">
        <v>0</v>
      </c>
      <c r="I53" s="387">
        <v>0</v>
      </c>
      <c r="J53" s="387">
        <v>1900</v>
      </c>
      <c r="K53" s="852">
        <f>+D53/L53</f>
        <v>4.4496487119437943E-3</v>
      </c>
      <c r="L53" s="387">
        <v>427000</v>
      </c>
      <c r="M53" s="853"/>
      <c r="N53" s="613" t="s">
        <v>420</v>
      </c>
      <c r="O53" s="387">
        <v>380000</v>
      </c>
      <c r="P53"/>
      <c r="Q53"/>
      <c r="R53"/>
      <c r="S53"/>
      <c r="T53"/>
      <c r="U53"/>
      <c r="V53"/>
      <c r="W53"/>
    </row>
    <row r="54" spans="1:23" ht="15.75" customHeight="1">
      <c r="A54"/>
      <c r="B54"/>
      <c r="C54" s="386" t="s">
        <v>433</v>
      </c>
      <c r="D54" s="810">
        <f>SUM(D7:D53)</f>
        <v>84421354</v>
      </c>
      <c r="E54" s="810">
        <f t="shared" ref="E54:J54" si="1">SUM(E7:E53)</f>
        <v>2468550</v>
      </c>
      <c r="F54" s="810">
        <f t="shared" si="1"/>
        <v>928600</v>
      </c>
      <c r="G54" s="810">
        <f t="shared" si="1"/>
        <v>948000</v>
      </c>
      <c r="H54" s="810">
        <f t="shared" si="1"/>
        <v>18737000</v>
      </c>
      <c r="I54" s="810">
        <f t="shared" si="1"/>
        <v>953600</v>
      </c>
      <c r="J54" s="810">
        <f t="shared" si="1"/>
        <v>108457104</v>
      </c>
      <c r="K54"/>
      <c r="L54"/>
      <c r="M54"/>
      <c r="N54"/>
      <c r="O54"/>
      <c r="P54"/>
      <c r="Q54"/>
      <c r="R54"/>
      <c r="S54"/>
      <c r="T54"/>
      <c r="U54"/>
      <c r="V54"/>
      <c r="W54"/>
    </row>
    <row r="84" spans="1:21" ht="15.75" customHeight="1">
      <c r="A84"/>
      <c r="B84" s="637"/>
      <c r="C84" s="863" t="s">
        <v>982</v>
      </c>
      <c r="D84" s="863"/>
      <c r="E84" s="863"/>
      <c r="F84" s="604"/>
      <c r="G84" s="604"/>
      <c r="H84" s="604"/>
      <c r="I84" s="604"/>
      <c r="J84" s="604"/>
      <c r="K84" s="817"/>
      <c r="L84" s="637"/>
      <c r="M84" s="637"/>
      <c r="N84" s="637"/>
      <c r="O84" s="637"/>
      <c r="P84"/>
      <c r="Q84"/>
      <c r="R84"/>
      <c r="S84"/>
      <c r="T84"/>
      <c r="U84"/>
    </row>
    <row r="85" spans="1:21" ht="15.75" customHeight="1">
      <c r="A85"/>
      <c r="B85" s="637"/>
      <c r="C85" s="863" t="s">
        <v>983</v>
      </c>
      <c r="D85" s="863"/>
      <c r="E85" s="863"/>
      <c r="F85" s="604"/>
      <c r="G85" s="604"/>
      <c r="H85" s="604"/>
      <c r="I85" s="604"/>
      <c r="J85" s="604"/>
      <c r="K85" s="817"/>
      <c r="L85" s="637"/>
      <c r="M85" s="637"/>
      <c r="N85" s="637"/>
      <c r="O85" s="637"/>
      <c r="P85"/>
      <c r="Q85"/>
      <c r="R85"/>
      <c r="S85"/>
      <c r="T85"/>
      <c r="U85"/>
    </row>
    <row r="86" spans="1:21" ht="15.75" customHeight="1">
      <c r="A86" s="816" t="s">
        <v>191</v>
      </c>
      <c r="B86" s="637"/>
      <c r="C86" s="864">
        <v>43982</v>
      </c>
      <c r="D86" s="864"/>
      <c r="E86" s="864"/>
      <c r="F86" s="604"/>
      <c r="G86" s="604"/>
      <c r="H86" s="604"/>
      <c r="I86" s="604"/>
      <c r="J86" s="604"/>
      <c r="K86" s="817"/>
      <c r="L86" s="637"/>
      <c r="M86" s="637"/>
      <c r="N86" s="637"/>
      <c r="O86" s="637"/>
      <c r="P86"/>
      <c r="Q86"/>
      <c r="R86"/>
      <c r="S86"/>
      <c r="T86"/>
      <c r="U86"/>
    </row>
    <row r="87" spans="1:21" ht="15.75" customHeight="1">
      <c r="A87" s="640" t="s">
        <v>763</v>
      </c>
      <c r="B87" s="641" t="s">
        <v>764</v>
      </c>
      <c r="C87" s="641" t="s">
        <v>765</v>
      </c>
      <c r="D87" s="642" t="s">
        <v>766</v>
      </c>
      <c r="E87" s="811" t="s">
        <v>1069</v>
      </c>
      <c r="F87" s="642" t="s">
        <v>768</v>
      </c>
      <c r="G87" s="811" t="s">
        <v>1068</v>
      </c>
      <c r="H87" s="642" t="s">
        <v>770</v>
      </c>
      <c r="I87" s="822" t="s">
        <v>1070</v>
      </c>
      <c r="J87" s="643" t="s">
        <v>710</v>
      </c>
      <c r="K87" s="818" t="s">
        <v>1045</v>
      </c>
      <c r="L87" s="607"/>
      <c r="M87" s="615"/>
      <c r="N87" s="607" t="s">
        <v>198</v>
      </c>
      <c r="O87" s="607" t="s">
        <v>1046</v>
      </c>
      <c r="P87"/>
      <c r="Q87"/>
      <c r="R87"/>
      <c r="S87"/>
      <c r="T87"/>
      <c r="U87"/>
    </row>
    <row r="88" spans="1:21" ht="15.75" customHeight="1">
      <c r="A88" s="612" t="s">
        <v>384</v>
      </c>
      <c r="B88" s="613" t="s">
        <v>383</v>
      </c>
      <c r="C88" s="613" t="s">
        <v>385</v>
      </c>
      <c r="D88" s="387">
        <v>15977000</v>
      </c>
      <c r="E88" s="387">
        <v>1125000</v>
      </c>
      <c r="F88" s="387">
        <v>299050</v>
      </c>
      <c r="G88" s="387">
        <f>632000+8000</f>
        <v>640000</v>
      </c>
      <c r="H88" s="387">
        <v>10807500</v>
      </c>
      <c r="I88" s="387">
        <v>416400</v>
      </c>
      <c r="J88" s="387">
        <v>29264950</v>
      </c>
      <c r="K88" s="819">
        <f>+D88/M88</f>
        <v>66.294605809128626</v>
      </c>
      <c r="L88" s="616"/>
      <c r="M88" s="387">
        <v>241000</v>
      </c>
      <c r="N88" s="613" t="s">
        <v>401</v>
      </c>
      <c r="O88" s="616">
        <v>275000</v>
      </c>
      <c r="P88"/>
      <c r="Q88"/>
      <c r="R88"/>
      <c r="S88"/>
      <c r="T88"/>
      <c r="U88"/>
    </row>
    <row r="89" spans="1:21" ht="15.75" customHeight="1">
      <c r="A89" s="612" t="s">
        <v>384</v>
      </c>
      <c r="B89" s="613" t="s">
        <v>388</v>
      </c>
      <c r="C89" s="613" t="s">
        <v>389</v>
      </c>
      <c r="D89" s="387">
        <v>12252000</v>
      </c>
      <c r="E89" s="387">
        <v>945000</v>
      </c>
      <c r="F89" s="387">
        <v>300050</v>
      </c>
      <c r="G89" s="387">
        <v>0</v>
      </c>
      <c r="H89" s="387">
        <v>4903500</v>
      </c>
      <c r="I89" s="387">
        <v>385800</v>
      </c>
      <c r="J89" s="387">
        <v>18786350</v>
      </c>
      <c r="K89" s="819">
        <f t="shared" ref="K89:K133" si="2">+D89/M89</f>
        <v>41.114093959731541</v>
      </c>
      <c r="L89" s="616"/>
      <c r="M89" s="387">
        <v>298000</v>
      </c>
      <c r="N89" s="613" t="s">
        <v>403</v>
      </c>
      <c r="O89" s="616">
        <v>389000</v>
      </c>
      <c r="P89"/>
      <c r="Q89"/>
      <c r="R89"/>
      <c r="S89"/>
      <c r="T89"/>
      <c r="U89"/>
    </row>
    <row r="90" spans="1:21" ht="15.75" customHeight="1">
      <c r="A90" s="612" t="s">
        <v>384</v>
      </c>
      <c r="B90" s="613" t="s">
        <v>392</v>
      </c>
      <c r="C90" s="613" t="s">
        <v>393</v>
      </c>
      <c r="D90" s="387">
        <v>7364000</v>
      </c>
      <c r="E90" s="387">
        <v>398550</v>
      </c>
      <c r="F90" s="387">
        <v>101000</v>
      </c>
      <c r="G90" s="387">
        <v>28000</v>
      </c>
      <c r="H90" s="387">
        <v>1157400</v>
      </c>
      <c r="I90" s="387">
        <v>135500</v>
      </c>
      <c r="J90" s="387">
        <v>9184450</v>
      </c>
      <c r="K90" s="819">
        <f t="shared" si="2"/>
        <v>18.049019607843139</v>
      </c>
      <c r="L90" s="616"/>
      <c r="M90" s="387">
        <v>408000</v>
      </c>
      <c r="N90" s="613" t="s">
        <v>425</v>
      </c>
      <c r="O90" s="616">
        <v>275000</v>
      </c>
      <c r="P90"/>
      <c r="Q90"/>
      <c r="R90"/>
      <c r="S90"/>
      <c r="T90"/>
      <c r="U90"/>
    </row>
    <row r="91" spans="1:21" ht="15.75" customHeight="1">
      <c r="A91" s="612" t="s">
        <v>384</v>
      </c>
      <c r="B91" s="613" t="s">
        <v>394</v>
      </c>
      <c r="C91" s="613" t="s">
        <v>395</v>
      </c>
      <c r="D91" s="387">
        <v>5790916</v>
      </c>
      <c r="E91" s="387">
        <v>0</v>
      </c>
      <c r="F91" s="387">
        <v>0</v>
      </c>
      <c r="G91" s="387">
        <v>0</v>
      </c>
      <c r="H91" s="387">
        <v>444800</v>
      </c>
      <c r="I91" s="387">
        <v>15900</v>
      </c>
      <c r="J91" s="387">
        <v>6251616</v>
      </c>
      <c r="K91" s="819">
        <f t="shared" si="2"/>
        <v>15.041340259740259</v>
      </c>
      <c r="L91" s="616"/>
      <c r="M91" s="387">
        <v>385000</v>
      </c>
      <c r="N91" s="613" t="s">
        <v>427</v>
      </c>
      <c r="O91" s="616">
        <v>275000</v>
      </c>
      <c r="P91"/>
      <c r="Q91"/>
      <c r="R91"/>
      <c r="S91"/>
      <c r="T91"/>
      <c r="U91"/>
    </row>
    <row r="92" spans="1:21" ht="15.75" customHeight="1">
      <c r="A92" s="612" t="s">
        <v>384</v>
      </c>
      <c r="B92" s="613" t="s">
        <v>397</v>
      </c>
      <c r="C92" s="613" t="s">
        <v>398</v>
      </c>
      <c r="D92" s="387">
        <v>5024657</v>
      </c>
      <c r="E92" s="387">
        <v>0</v>
      </c>
      <c r="F92" s="387">
        <v>0</v>
      </c>
      <c r="G92" s="387">
        <v>0</v>
      </c>
      <c r="H92" s="387">
        <v>472700</v>
      </c>
      <c r="I92" s="387">
        <v>0</v>
      </c>
      <c r="J92" s="387">
        <v>5497357</v>
      </c>
      <c r="K92" s="819">
        <f t="shared" si="2"/>
        <v>13.051057142857143</v>
      </c>
      <c r="L92" s="616"/>
      <c r="M92" s="387">
        <v>385000</v>
      </c>
      <c r="N92" s="613" t="s">
        <v>423</v>
      </c>
      <c r="O92" s="616">
        <v>275000</v>
      </c>
      <c r="P92"/>
      <c r="Q92"/>
      <c r="R92"/>
      <c r="S92"/>
      <c r="T92"/>
      <c r="U92"/>
    </row>
    <row r="93" spans="1:21" ht="15.75" customHeight="1">
      <c r="A93" s="612" t="s">
        <v>384</v>
      </c>
      <c r="B93" s="613" t="s">
        <v>399</v>
      </c>
      <c r="C93" s="613" t="s">
        <v>772</v>
      </c>
      <c r="D93" s="387">
        <v>4403000</v>
      </c>
      <c r="E93" s="387">
        <v>0</v>
      </c>
      <c r="F93" s="387">
        <v>82750</v>
      </c>
      <c r="G93" s="387">
        <v>28000</v>
      </c>
      <c r="H93" s="387">
        <v>463000</v>
      </c>
      <c r="I93" s="387">
        <v>0</v>
      </c>
      <c r="J93" s="387">
        <v>4976750</v>
      </c>
      <c r="K93" s="819">
        <f t="shared" si="2"/>
        <v>12.544159544159545</v>
      </c>
      <c r="L93" s="616"/>
      <c r="M93" s="387">
        <v>351000</v>
      </c>
      <c r="N93" s="613" t="s">
        <v>383</v>
      </c>
      <c r="O93" s="616">
        <v>241000</v>
      </c>
      <c r="P93"/>
      <c r="Q93"/>
      <c r="R93"/>
      <c r="S93"/>
      <c r="T93"/>
      <c r="U93"/>
    </row>
    <row r="94" spans="1:21" ht="15.75" customHeight="1">
      <c r="A94" s="612" t="s">
        <v>191</v>
      </c>
      <c r="B94" s="613" t="s">
        <v>396</v>
      </c>
      <c r="C94" s="613" t="s">
        <v>486</v>
      </c>
      <c r="D94" s="387">
        <v>4470800</v>
      </c>
      <c r="E94" s="387">
        <v>0</v>
      </c>
      <c r="F94" s="387">
        <v>80750</v>
      </c>
      <c r="G94" s="387">
        <v>0</v>
      </c>
      <c r="H94" s="387">
        <v>78800</v>
      </c>
      <c r="I94" s="387">
        <v>0</v>
      </c>
      <c r="J94" s="387">
        <v>4630350</v>
      </c>
      <c r="K94" s="819">
        <f t="shared" si="2"/>
        <v>13.072514619883041</v>
      </c>
      <c r="L94" s="841" t="s">
        <v>544</v>
      </c>
      <c r="M94" s="842">
        <v>342000</v>
      </c>
      <c r="N94" s="843" t="s">
        <v>1079</v>
      </c>
      <c r="O94" s="841">
        <v>389000</v>
      </c>
      <c r="P94" s="844"/>
      <c r="Q94" s="844"/>
      <c r="R94" s="844"/>
      <c r="S94" s="844"/>
      <c r="T94" s="844"/>
      <c r="U94" s="844" t="s">
        <v>567</v>
      </c>
    </row>
    <row r="95" spans="1:21" ht="15.75" customHeight="1">
      <c r="A95" s="612" t="s">
        <v>384</v>
      </c>
      <c r="B95" s="613" t="s">
        <v>390</v>
      </c>
      <c r="C95" s="613" t="s">
        <v>391</v>
      </c>
      <c r="D95" s="387">
        <v>4499276</v>
      </c>
      <c r="E95" s="387">
        <v>0</v>
      </c>
      <c r="F95" s="387">
        <v>0</v>
      </c>
      <c r="G95" s="387">
        <v>0</v>
      </c>
      <c r="H95" s="387">
        <v>0</v>
      </c>
      <c r="I95" s="387">
        <v>0</v>
      </c>
      <c r="J95" s="387">
        <v>4499276</v>
      </c>
      <c r="K95" s="819">
        <f t="shared" si="2"/>
        <v>14.997586666666667</v>
      </c>
      <c r="L95" s="836" t="s">
        <v>1073</v>
      </c>
      <c r="M95" s="837">
        <v>300000</v>
      </c>
      <c r="N95" s="838" t="s">
        <v>1077</v>
      </c>
      <c r="O95" s="836">
        <v>408000</v>
      </c>
      <c r="P95" s="839"/>
      <c r="Q95" s="839"/>
      <c r="R95" s="839"/>
      <c r="S95" s="839"/>
      <c r="T95" s="839"/>
      <c r="U95" s="840" t="str">
        <f>+K172</f>
        <v>10 ap</v>
      </c>
    </row>
    <row r="96" spans="1:21" ht="15.75" customHeight="1">
      <c r="A96" s="612" t="s">
        <v>384</v>
      </c>
      <c r="B96" s="613" t="s">
        <v>405</v>
      </c>
      <c r="C96" s="613" t="s">
        <v>406</v>
      </c>
      <c r="D96" s="387">
        <v>4216249</v>
      </c>
      <c r="E96" s="387">
        <v>0</v>
      </c>
      <c r="F96" s="387">
        <v>0</v>
      </c>
      <c r="G96" s="387">
        <v>0</v>
      </c>
      <c r="H96" s="387">
        <v>188600</v>
      </c>
      <c r="I96" s="387">
        <v>0</v>
      </c>
      <c r="J96" s="387">
        <v>4404849</v>
      </c>
      <c r="K96" s="819">
        <f t="shared" si="2"/>
        <v>10.33394362745098</v>
      </c>
      <c r="L96" s="833">
        <f>+L97/J143</f>
        <v>0.82543162700567352</v>
      </c>
      <c r="M96" s="829">
        <v>408000</v>
      </c>
      <c r="N96" s="830" t="s">
        <v>405</v>
      </c>
      <c r="O96" s="828">
        <v>408000</v>
      </c>
      <c r="P96" s="831"/>
      <c r="Q96" s="831"/>
      <c r="R96" s="831"/>
      <c r="S96" s="831"/>
      <c r="T96" s="831"/>
      <c r="U96" s="834">
        <f t="shared" ref="U96:U97" si="3">+K173</f>
        <v>0.8519063649651607</v>
      </c>
    </row>
    <row r="97" spans="1:21" ht="15.75" customHeight="1">
      <c r="A97" s="612" t="s">
        <v>384</v>
      </c>
      <c r="B97" s="613" t="s">
        <v>401</v>
      </c>
      <c r="C97" s="613" t="s">
        <v>402</v>
      </c>
      <c r="D97" s="387">
        <v>2982740</v>
      </c>
      <c r="E97" s="387">
        <v>0</v>
      </c>
      <c r="F97" s="387">
        <v>65000</v>
      </c>
      <c r="G97" s="387">
        <v>56000</v>
      </c>
      <c r="H97" s="387">
        <v>220700</v>
      </c>
      <c r="I97" s="387">
        <v>0</v>
      </c>
      <c r="J97" s="387">
        <v>3324440</v>
      </c>
      <c r="K97" s="819">
        <f t="shared" si="2"/>
        <v>10.846327272727272</v>
      </c>
      <c r="L97" s="835">
        <f>SUM(J88:J97)</f>
        <v>90820388</v>
      </c>
      <c r="M97" s="829">
        <v>275000</v>
      </c>
      <c r="N97" s="830" t="s">
        <v>416</v>
      </c>
      <c r="O97" s="828">
        <v>418000</v>
      </c>
      <c r="P97" s="831"/>
      <c r="Q97" s="831"/>
      <c r="R97" s="831"/>
      <c r="S97" s="831"/>
      <c r="T97" s="831"/>
      <c r="U97" s="832">
        <f t="shared" si="3"/>
        <v>89733388</v>
      </c>
    </row>
    <row r="98" spans="1:21" ht="15.75" customHeight="1">
      <c r="A98" s="612" t="s">
        <v>191</v>
      </c>
      <c r="B98" s="613" t="s">
        <v>639</v>
      </c>
      <c r="C98" s="613" t="s">
        <v>638</v>
      </c>
      <c r="D98" s="387">
        <v>1642000</v>
      </c>
      <c r="E98" s="387">
        <v>0</v>
      </c>
      <c r="F98" s="387">
        <v>0</v>
      </c>
      <c r="G98" s="387">
        <v>0</v>
      </c>
      <c r="H98" s="387">
        <v>26200</v>
      </c>
      <c r="I98" s="387">
        <v>0</v>
      </c>
      <c r="J98" s="387">
        <v>1668200</v>
      </c>
      <c r="K98" s="819">
        <f t="shared" si="2"/>
        <v>4.0245098039215685</v>
      </c>
      <c r="L98" s="828"/>
      <c r="M98" s="829">
        <v>408000</v>
      </c>
      <c r="N98" s="830" t="s">
        <v>394</v>
      </c>
      <c r="O98" s="828">
        <v>385000</v>
      </c>
      <c r="P98" s="831"/>
      <c r="Q98" s="831"/>
      <c r="R98" s="831"/>
      <c r="S98" s="831"/>
      <c r="T98" s="831"/>
      <c r="U98" s="831"/>
    </row>
    <row r="99" spans="1:21" ht="15.75" customHeight="1">
      <c r="A99" s="612" t="s">
        <v>191</v>
      </c>
      <c r="B99" s="613" t="s">
        <v>422</v>
      </c>
      <c r="C99" s="613" t="s">
        <v>524</v>
      </c>
      <c r="D99" s="387">
        <v>1217000</v>
      </c>
      <c r="E99" s="387">
        <v>0</v>
      </c>
      <c r="F99" s="387">
        <v>0</v>
      </c>
      <c r="G99" s="387">
        <v>0</v>
      </c>
      <c r="H99" s="387">
        <v>19100</v>
      </c>
      <c r="I99" s="387">
        <v>0</v>
      </c>
      <c r="J99" s="387">
        <v>1236100</v>
      </c>
      <c r="K99" s="819">
        <f t="shared" si="2"/>
        <v>4.0032894736842106</v>
      </c>
      <c r="L99" s="836" t="s">
        <v>1074</v>
      </c>
      <c r="M99" s="837">
        <v>304000</v>
      </c>
      <c r="N99" s="838" t="s">
        <v>1078</v>
      </c>
      <c r="O99" s="836">
        <v>351000</v>
      </c>
      <c r="P99" s="839"/>
      <c r="Q99" s="839"/>
      <c r="R99" s="839"/>
      <c r="S99" s="839"/>
      <c r="T99" s="839"/>
      <c r="U99" s="840" t="str">
        <f>+K176</f>
        <v>29 apto</v>
      </c>
    </row>
    <row r="100" spans="1:21" ht="15.75" customHeight="1">
      <c r="A100" s="612" t="s">
        <v>191</v>
      </c>
      <c r="B100" s="613" t="s">
        <v>409</v>
      </c>
      <c r="C100" s="613" t="s">
        <v>410</v>
      </c>
      <c r="D100" s="387">
        <v>1235300</v>
      </c>
      <c r="E100" s="387">
        <v>0</v>
      </c>
      <c r="F100" s="387">
        <v>0</v>
      </c>
      <c r="G100" s="387">
        <v>0</v>
      </c>
      <c r="H100" s="387">
        <v>0</v>
      </c>
      <c r="I100" s="387">
        <v>0</v>
      </c>
      <c r="J100" s="387">
        <v>1235300</v>
      </c>
      <c r="K100" s="819">
        <f t="shared" si="2"/>
        <v>3.0276960784313727</v>
      </c>
      <c r="L100" s="835">
        <f>SUM(J98:J142)</f>
        <v>19207366</v>
      </c>
      <c r="M100" s="829">
        <v>408000</v>
      </c>
      <c r="N100" s="830" t="s">
        <v>1000</v>
      </c>
      <c r="O100" s="828">
        <v>342000</v>
      </c>
      <c r="P100" s="831"/>
      <c r="Q100" s="831"/>
      <c r="R100" s="831"/>
      <c r="S100" s="831"/>
      <c r="T100" s="831"/>
      <c r="U100" s="832">
        <f t="shared" ref="U100:U101" si="4">+K177</f>
        <v>15536266</v>
      </c>
    </row>
    <row r="101" spans="1:21" ht="15.75" customHeight="1">
      <c r="A101" s="612" t="s">
        <v>191</v>
      </c>
      <c r="B101" s="613" t="s">
        <v>403</v>
      </c>
      <c r="C101" s="613" t="s">
        <v>404</v>
      </c>
      <c r="D101" s="387">
        <v>1028466</v>
      </c>
      <c r="E101" s="387">
        <v>0</v>
      </c>
      <c r="F101" s="387">
        <v>0</v>
      </c>
      <c r="G101" s="387">
        <v>0</v>
      </c>
      <c r="H101" s="387">
        <v>0</v>
      </c>
      <c r="I101" s="387">
        <v>0</v>
      </c>
      <c r="J101" s="387">
        <v>1028466</v>
      </c>
      <c r="K101" s="819">
        <f t="shared" si="2"/>
        <v>2.6438714652956299</v>
      </c>
      <c r="L101" s="833">
        <f>+L100/J143</f>
        <v>0.17456837299432651</v>
      </c>
      <c r="M101" s="829">
        <v>389000</v>
      </c>
      <c r="N101" s="830" t="s">
        <v>994</v>
      </c>
      <c r="O101" s="828">
        <v>370000</v>
      </c>
      <c r="P101" s="831"/>
      <c r="Q101" s="831"/>
      <c r="R101" s="831"/>
      <c r="S101" s="831"/>
      <c r="T101" s="831"/>
      <c r="U101" s="834">
        <f t="shared" si="4"/>
        <v>0.14749742752599307</v>
      </c>
    </row>
    <row r="102" spans="1:21" ht="15.75" customHeight="1">
      <c r="A102" s="612" t="s">
        <v>191</v>
      </c>
      <c r="B102" s="613" t="s">
        <v>442</v>
      </c>
      <c r="C102" s="613" t="s">
        <v>673</v>
      </c>
      <c r="D102" s="387">
        <v>912000</v>
      </c>
      <c r="E102" s="387">
        <v>0</v>
      </c>
      <c r="F102" s="387">
        <v>0</v>
      </c>
      <c r="G102" s="387">
        <v>0</v>
      </c>
      <c r="H102" s="387">
        <v>12700</v>
      </c>
      <c r="I102" s="387">
        <v>0</v>
      </c>
      <c r="J102" s="387">
        <v>924700</v>
      </c>
      <c r="K102" s="819">
        <f t="shared" si="2"/>
        <v>3</v>
      </c>
      <c r="L102" s="616"/>
      <c r="M102" s="387">
        <v>304000</v>
      </c>
      <c r="N102" s="613" t="s">
        <v>1010</v>
      </c>
      <c r="O102" s="616">
        <v>370000</v>
      </c>
      <c r="P102"/>
      <c r="Q102"/>
      <c r="R102"/>
      <c r="S102"/>
      <c r="T102"/>
      <c r="U102"/>
    </row>
    <row r="103" spans="1:21" ht="15.75" customHeight="1">
      <c r="A103" s="612" t="s">
        <v>191</v>
      </c>
      <c r="B103" s="613" t="s">
        <v>990</v>
      </c>
      <c r="C103" s="613" t="s">
        <v>991</v>
      </c>
      <c r="D103" s="387">
        <v>816000</v>
      </c>
      <c r="E103" s="387">
        <v>0</v>
      </c>
      <c r="F103" s="387">
        <v>0</v>
      </c>
      <c r="G103" s="387">
        <v>0</v>
      </c>
      <c r="H103" s="387">
        <v>0</v>
      </c>
      <c r="I103" s="387">
        <v>0</v>
      </c>
      <c r="J103" s="387">
        <v>816000</v>
      </c>
      <c r="K103" s="819">
        <f t="shared" si="2"/>
        <v>2</v>
      </c>
      <c r="L103" s="616"/>
      <c r="M103" s="387">
        <v>408000</v>
      </c>
      <c r="N103" s="613" t="s">
        <v>1006</v>
      </c>
      <c r="O103" s="616">
        <v>275000</v>
      </c>
      <c r="P103"/>
      <c r="Q103"/>
      <c r="R103"/>
      <c r="S103"/>
      <c r="T103"/>
      <c r="U103"/>
    </row>
    <row r="104" spans="1:21" ht="15.75" customHeight="1">
      <c r="A104" s="612" t="s">
        <v>191</v>
      </c>
      <c r="B104" s="613" t="s">
        <v>412</v>
      </c>
      <c r="C104" s="613" t="s">
        <v>413</v>
      </c>
      <c r="D104" s="387">
        <v>778000</v>
      </c>
      <c r="E104" s="387">
        <v>0</v>
      </c>
      <c r="F104" s="387">
        <v>0</v>
      </c>
      <c r="G104" s="387">
        <v>0</v>
      </c>
      <c r="H104" s="387">
        <v>0</v>
      </c>
      <c r="I104" s="387">
        <v>0</v>
      </c>
      <c r="J104" s="387">
        <v>778000</v>
      </c>
      <c r="K104" s="819">
        <f t="shared" si="2"/>
        <v>2</v>
      </c>
      <c r="L104" s="616"/>
      <c r="M104" s="387">
        <v>389000</v>
      </c>
      <c r="N104" s="613" t="s">
        <v>523</v>
      </c>
      <c r="O104" s="616">
        <v>361000</v>
      </c>
      <c r="P104"/>
      <c r="Q104"/>
      <c r="R104"/>
      <c r="S104"/>
      <c r="T104"/>
      <c r="U104"/>
    </row>
    <row r="105" spans="1:21" ht="15.75" customHeight="1">
      <c r="A105" s="612" t="s">
        <v>191</v>
      </c>
      <c r="B105" s="613" t="s">
        <v>994</v>
      </c>
      <c r="C105" s="613" t="s">
        <v>995</v>
      </c>
      <c r="D105" s="387">
        <v>740000</v>
      </c>
      <c r="E105" s="387">
        <v>0</v>
      </c>
      <c r="F105" s="387">
        <v>0</v>
      </c>
      <c r="G105" s="387">
        <v>0</v>
      </c>
      <c r="H105" s="387">
        <v>0</v>
      </c>
      <c r="I105" s="387">
        <v>0</v>
      </c>
      <c r="J105" s="387">
        <v>740000</v>
      </c>
      <c r="K105" s="819">
        <f t="shared" si="2"/>
        <v>2</v>
      </c>
      <c r="L105" s="616"/>
      <c r="M105" s="387">
        <v>370000</v>
      </c>
      <c r="N105" s="613" t="s">
        <v>418</v>
      </c>
      <c r="O105" s="616">
        <v>351000</v>
      </c>
      <c r="P105"/>
      <c r="Q105"/>
      <c r="R105"/>
      <c r="S105"/>
      <c r="T105"/>
      <c r="U105"/>
    </row>
    <row r="106" spans="1:21" ht="15.75" customHeight="1">
      <c r="A106" s="612" t="s">
        <v>191</v>
      </c>
      <c r="B106" s="613" t="s">
        <v>1002</v>
      </c>
      <c r="C106" s="613" t="s">
        <v>1003</v>
      </c>
      <c r="D106" s="387">
        <v>684000</v>
      </c>
      <c r="E106" s="387">
        <v>0</v>
      </c>
      <c r="F106" s="387">
        <v>0</v>
      </c>
      <c r="G106" s="387">
        <v>0</v>
      </c>
      <c r="H106" s="387">
        <v>0</v>
      </c>
      <c r="I106" s="387">
        <v>0</v>
      </c>
      <c r="J106" s="387">
        <v>684000</v>
      </c>
      <c r="K106" s="819">
        <f t="shared" si="2"/>
        <v>2</v>
      </c>
      <c r="L106" s="616"/>
      <c r="M106" s="387">
        <v>342000</v>
      </c>
      <c r="N106" s="613" t="s">
        <v>399</v>
      </c>
      <c r="O106" s="616">
        <v>351000</v>
      </c>
      <c r="P106"/>
      <c r="Q106"/>
      <c r="R106"/>
      <c r="S106"/>
      <c r="T106"/>
      <c r="U106"/>
    </row>
    <row r="107" spans="1:21" ht="15.75" customHeight="1">
      <c r="A107" s="612" t="s">
        <v>191</v>
      </c>
      <c r="B107" s="613" t="s">
        <v>414</v>
      </c>
      <c r="C107" s="613" t="s">
        <v>415</v>
      </c>
      <c r="D107" s="387">
        <v>600000</v>
      </c>
      <c r="E107" s="387">
        <v>0</v>
      </c>
      <c r="F107" s="387">
        <v>0</v>
      </c>
      <c r="G107" s="387">
        <v>0</v>
      </c>
      <c r="H107" s="387">
        <v>0</v>
      </c>
      <c r="I107" s="387">
        <v>0</v>
      </c>
      <c r="J107" s="387">
        <v>600000</v>
      </c>
      <c r="K107" s="819">
        <f t="shared" si="2"/>
        <v>1.3157894736842106</v>
      </c>
      <c r="L107" s="616"/>
      <c r="M107" s="387">
        <v>456000</v>
      </c>
      <c r="N107" s="613" t="s">
        <v>521</v>
      </c>
      <c r="O107" s="616">
        <v>342000</v>
      </c>
      <c r="P107"/>
      <c r="Q107"/>
      <c r="R107"/>
      <c r="S107"/>
      <c r="T107"/>
      <c r="U107"/>
    </row>
    <row r="108" spans="1:21" ht="15.75" customHeight="1">
      <c r="A108" s="612" t="s">
        <v>191</v>
      </c>
      <c r="B108" s="613" t="s">
        <v>715</v>
      </c>
      <c r="C108" s="613" t="s">
        <v>716</v>
      </c>
      <c r="D108" s="387">
        <v>399000</v>
      </c>
      <c r="E108" s="387">
        <v>0</v>
      </c>
      <c r="F108" s="387">
        <v>0</v>
      </c>
      <c r="G108" s="387">
        <v>165000</v>
      </c>
      <c r="H108" s="387">
        <v>0</v>
      </c>
      <c r="I108" s="387">
        <v>0</v>
      </c>
      <c r="J108" s="387">
        <v>564000</v>
      </c>
      <c r="K108" s="819">
        <f t="shared" si="2"/>
        <v>1</v>
      </c>
      <c r="L108" s="616"/>
      <c r="M108" s="387">
        <v>399000</v>
      </c>
      <c r="N108" s="613" t="s">
        <v>1008</v>
      </c>
      <c r="O108" s="616">
        <v>275000</v>
      </c>
      <c r="P108"/>
      <c r="Q108"/>
      <c r="R108"/>
      <c r="S108"/>
      <c r="T108"/>
      <c r="U108"/>
    </row>
    <row r="109" spans="1:21" ht="15.75" customHeight="1">
      <c r="A109" s="612" t="s">
        <v>191</v>
      </c>
      <c r="B109" s="613" t="s">
        <v>986</v>
      </c>
      <c r="C109" s="613" t="s">
        <v>987</v>
      </c>
      <c r="D109" s="387">
        <v>351000</v>
      </c>
      <c r="E109" s="387">
        <v>0</v>
      </c>
      <c r="F109" s="387">
        <v>0</v>
      </c>
      <c r="G109" s="387">
        <f>28000+165000</f>
        <v>193000</v>
      </c>
      <c r="H109" s="387">
        <v>0</v>
      </c>
      <c r="I109" s="387">
        <v>0</v>
      </c>
      <c r="J109" s="387">
        <v>544000</v>
      </c>
      <c r="K109" s="819">
        <f t="shared" si="2"/>
        <v>1</v>
      </c>
      <c r="L109" s="616"/>
      <c r="M109" s="387">
        <v>351000</v>
      </c>
      <c r="N109" s="613" t="s">
        <v>986</v>
      </c>
      <c r="O109" s="616">
        <v>351000</v>
      </c>
      <c r="P109"/>
      <c r="Q109"/>
      <c r="R109"/>
      <c r="S109"/>
      <c r="T109"/>
      <c r="U109"/>
    </row>
    <row r="110" spans="1:21" ht="15.75" customHeight="1">
      <c r="A110" s="612" t="s">
        <v>191</v>
      </c>
      <c r="B110" s="613" t="s">
        <v>641</v>
      </c>
      <c r="C110" s="613" t="s">
        <v>640</v>
      </c>
      <c r="D110" s="387">
        <v>445000</v>
      </c>
      <c r="E110" s="387">
        <v>0</v>
      </c>
      <c r="F110" s="387">
        <v>0</v>
      </c>
      <c r="G110" s="387">
        <v>0</v>
      </c>
      <c r="H110" s="387">
        <v>900</v>
      </c>
      <c r="I110" s="387">
        <v>0</v>
      </c>
      <c r="J110" s="387">
        <v>445900</v>
      </c>
      <c r="K110" s="819">
        <f t="shared" si="2"/>
        <v>1.0421545667447307</v>
      </c>
      <c r="L110" s="616"/>
      <c r="M110" s="387">
        <v>427000</v>
      </c>
      <c r="N110" s="613" t="s">
        <v>411</v>
      </c>
      <c r="O110" s="616">
        <v>361000</v>
      </c>
      <c r="P110"/>
      <c r="Q110"/>
      <c r="R110"/>
      <c r="S110"/>
      <c r="T110"/>
      <c r="U110"/>
    </row>
    <row r="111" spans="1:21" ht="15.75" customHeight="1">
      <c r="A111" s="612" t="s">
        <v>191</v>
      </c>
      <c r="B111" s="613" t="s">
        <v>1047</v>
      </c>
      <c r="C111" s="613" t="s">
        <v>1048</v>
      </c>
      <c r="D111" s="387">
        <v>437000</v>
      </c>
      <c r="E111" s="387">
        <v>0</v>
      </c>
      <c r="F111" s="387">
        <v>0</v>
      </c>
      <c r="G111" s="387">
        <v>0</v>
      </c>
      <c r="H111" s="387">
        <v>0</v>
      </c>
      <c r="I111" s="387">
        <v>0</v>
      </c>
      <c r="J111" s="387">
        <v>437000</v>
      </c>
      <c r="K111" s="819">
        <f t="shared" si="2"/>
        <v>1</v>
      </c>
      <c r="L111" s="616"/>
      <c r="M111" s="387">
        <v>437000</v>
      </c>
      <c r="N111" s="613" t="s">
        <v>442</v>
      </c>
      <c r="O111" s="616">
        <v>304000</v>
      </c>
      <c r="P111"/>
      <c r="Q111"/>
      <c r="R111"/>
      <c r="S111"/>
      <c r="T111"/>
      <c r="U111"/>
    </row>
    <row r="112" spans="1:21" ht="15.75" customHeight="1">
      <c r="A112" s="612" t="s">
        <v>191</v>
      </c>
      <c r="B112" s="613" t="s">
        <v>722</v>
      </c>
      <c r="C112" s="613" t="s">
        <v>1049</v>
      </c>
      <c r="D112" s="387">
        <v>427000</v>
      </c>
      <c r="E112" s="387">
        <v>0</v>
      </c>
      <c r="F112" s="387">
        <v>0</v>
      </c>
      <c r="G112" s="387">
        <v>0</v>
      </c>
      <c r="H112" s="387">
        <v>0</v>
      </c>
      <c r="I112" s="387">
        <v>0</v>
      </c>
      <c r="J112" s="387">
        <v>427000</v>
      </c>
      <c r="K112" s="819">
        <f t="shared" si="2"/>
        <v>1</v>
      </c>
      <c r="L112" s="616"/>
      <c r="M112" s="387">
        <v>427000</v>
      </c>
      <c r="N112" s="613" t="s">
        <v>397</v>
      </c>
      <c r="O112" s="616">
        <v>385000</v>
      </c>
      <c r="P112"/>
      <c r="Q112"/>
      <c r="R112"/>
      <c r="S112"/>
      <c r="T112"/>
      <c r="U112"/>
    </row>
    <row r="113" spans="1:21" ht="15.75" customHeight="1">
      <c r="A113" s="612" t="s">
        <v>191</v>
      </c>
      <c r="B113" s="613" t="s">
        <v>733</v>
      </c>
      <c r="C113" s="613" t="s">
        <v>734</v>
      </c>
      <c r="D113" s="387">
        <v>408000</v>
      </c>
      <c r="E113" s="387">
        <v>0</v>
      </c>
      <c r="F113" s="387">
        <v>0</v>
      </c>
      <c r="G113" s="387">
        <v>0</v>
      </c>
      <c r="H113" s="387">
        <v>0</v>
      </c>
      <c r="I113" s="387">
        <v>0</v>
      </c>
      <c r="J113" s="387">
        <v>408000</v>
      </c>
      <c r="K113" s="819">
        <f t="shared" si="2"/>
        <v>1</v>
      </c>
      <c r="L113" s="616"/>
      <c r="M113" s="387">
        <v>408000</v>
      </c>
      <c r="N113" s="613" t="s">
        <v>639</v>
      </c>
      <c r="O113" s="616">
        <v>408000</v>
      </c>
      <c r="P113"/>
      <c r="Q113"/>
      <c r="R113"/>
      <c r="S113"/>
      <c r="T113"/>
      <c r="U113"/>
    </row>
    <row r="114" spans="1:21" ht="15.75" customHeight="1">
      <c r="A114" s="612" t="s">
        <v>191</v>
      </c>
      <c r="B114" s="613" t="s">
        <v>1050</v>
      </c>
      <c r="C114" s="613" t="s">
        <v>1051</v>
      </c>
      <c r="D114" s="387">
        <v>408000</v>
      </c>
      <c r="E114" s="387">
        <v>0</v>
      </c>
      <c r="F114" s="387">
        <v>0</v>
      </c>
      <c r="G114" s="387">
        <v>0</v>
      </c>
      <c r="H114" s="387">
        <v>0</v>
      </c>
      <c r="I114" s="387">
        <v>0</v>
      </c>
      <c r="J114" s="387">
        <v>408000</v>
      </c>
      <c r="K114" s="819">
        <f t="shared" si="2"/>
        <v>1</v>
      </c>
      <c r="L114" s="616"/>
      <c r="M114" s="387">
        <v>408000</v>
      </c>
      <c r="N114" s="613" t="s">
        <v>422</v>
      </c>
      <c r="O114" s="616">
        <v>304000</v>
      </c>
      <c r="P114"/>
      <c r="Q114"/>
      <c r="R114"/>
      <c r="S114"/>
      <c r="T114"/>
      <c r="U114"/>
    </row>
    <row r="115" spans="1:21" ht="15.75" customHeight="1">
      <c r="A115" s="612" t="s">
        <v>191</v>
      </c>
      <c r="B115" s="613" t="s">
        <v>473</v>
      </c>
      <c r="C115" s="613" t="s">
        <v>472</v>
      </c>
      <c r="D115" s="387">
        <v>399000</v>
      </c>
      <c r="E115" s="387">
        <v>0</v>
      </c>
      <c r="F115" s="387">
        <v>0</v>
      </c>
      <c r="G115" s="387">
        <v>0</v>
      </c>
      <c r="H115" s="387">
        <v>0</v>
      </c>
      <c r="I115" s="387">
        <v>0</v>
      </c>
      <c r="J115" s="387">
        <v>399000</v>
      </c>
      <c r="K115" s="819">
        <f t="shared" si="2"/>
        <v>1</v>
      </c>
      <c r="L115" s="616"/>
      <c r="M115" s="387">
        <v>399000</v>
      </c>
      <c r="N115" s="613" t="s">
        <v>469</v>
      </c>
      <c r="O115" s="616">
        <v>294000</v>
      </c>
      <c r="P115"/>
      <c r="Q115"/>
      <c r="R115"/>
      <c r="S115"/>
      <c r="T115"/>
      <c r="U115"/>
    </row>
    <row r="116" spans="1:21" ht="15.75" customHeight="1">
      <c r="A116" s="612" t="s">
        <v>191</v>
      </c>
      <c r="B116" s="613" t="s">
        <v>420</v>
      </c>
      <c r="C116" s="613" t="s">
        <v>421</v>
      </c>
      <c r="D116" s="387">
        <v>380000</v>
      </c>
      <c r="E116" s="387">
        <v>0</v>
      </c>
      <c r="F116" s="387">
        <v>0</v>
      </c>
      <c r="G116" s="387">
        <v>0</v>
      </c>
      <c r="H116" s="387">
        <v>0</v>
      </c>
      <c r="I116" s="387">
        <v>0</v>
      </c>
      <c r="J116" s="387">
        <v>380000</v>
      </c>
      <c r="K116" s="819">
        <f>+D116/M117</f>
        <v>1.0526315789473684</v>
      </c>
      <c r="L116" s="616"/>
      <c r="M116" s="387">
        <v>380000</v>
      </c>
      <c r="N116" s="613" t="s">
        <v>647</v>
      </c>
      <c r="O116" s="616">
        <v>294000</v>
      </c>
      <c r="P116"/>
      <c r="Q116"/>
      <c r="R116"/>
      <c r="S116"/>
      <c r="T116"/>
      <c r="U116"/>
    </row>
    <row r="117" spans="1:21" ht="15.75" customHeight="1">
      <c r="A117" s="612" t="s">
        <v>191</v>
      </c>
      <c r="B117" s="613" t="s">
        <v>1052</v>
      </c>
      <c r="C117" s="613" t="s">
        <v>1053</v>
      </c>
      <c r="D117" s="387">
        <v>361000</v>
      </c>
      <c r="E117" s="387">
        <v>0</v>
      </c>
      <c r="F117" s="387">
        <v>0</v>
      </c>
      <c r="G117" s="387">
        <v>0</v>
      </c>
      <c r="H117" s="387">
        <v>0</v>
      </c>
      <c r="I117" s="387">
        <v>0</v>
      </c>
      <c r="J117" s="387">
        <v>361000</v>
      </c>
      <c r="K117" s="819">
        <f>+D117/M118</f>
        <v>1.0284900284900285</v>
      </c>
      <c r="L117" s="616"/>
      <c r="M117" s="387">
        <v>361000</v>
      </c>
      <c r="N117" s="613" t="s">
        <v>988</v>
      </c>
      <c r="O117" s="616">
        <v>475000</v>
      </c>
      <c r="P117"/>
      <c r="Q117"/>
      <c r="R117"/>
      <c r="S117"/>
      <c r="T117"/>
      <c r="U117"/>
    </row>
    <row r="118" spans="1:21" ht="15.75" customHeight="1">
      <c r="A118" s="612" t="s">
        <v>191</v>
      </c>
      <c r="B118" s="613" t="s">
        <v>501</v>
      </c>
      <c r="C118" s="613" t="s">
        <v>500</v>
      </c>
      <c r="D118" s="387">
        <v>351000</v>
      </c>
      <c r="E118" s="387">
        <v>0</v>
      </c>
      <c r="F118" s="387">
        <v>0</v>
      </c>
      <c r="G118" s="387">
        <v>0</v>
      </c>
      <c r="H118" s="387">
        <v>0</v>
      </c>
      <c r="I118" s="387">
        <v>0</v>
      </c>
      <c r="J118" s="387">
        <v>351000</v>
      </c>
      <c r="K118" s="819">
        <f t="shared" si="2"/>
        <v>1</v>
      </c>
      <c r="L118" s="616"/>
      <c r="M118" s="387">
        <v>351000</v>
      </c>
      <c r="N118" s="613" t="s">
        <v>996</v>
      </c>
      <c r="O118" s="616">
        <v>370000</v>
      </c>
      <c r="P118"/>
      <c r="Q118"/>
      <c r="R118"/>
      <c r="S118"/>
      <c r="T118"/>
      <c r="U118"/>
    </row>
    <row r="119" spans="1:21" ht="15.75" customHeight="1">
      <c r="A119" s="612" t="s">
        <v>191</v>
      </c>
      <c r="B119" s="613" t="s">
        <v>490</v>
      </c>
      <c r="C119" s="613" t="s">
        <v>489</v>
      </c>
      <c r="D119" s="387">
        <v>342000</v>
      </c>
      <c r="E119" s="387">
        <v>0</v>
      </c>
      <c r="F119" s="387">
        <v>0</v>
      </c>
      <c r="G119" s="387">
        <v>0</v>
      </c>
      <c r="H119" s="387">
        <v>0</v>
      </c>
      <c r="I119" s="387">
        <v>0</v>
      </c>
      <c r="J119" s="387">
        <v>342000</v>
      </c>
      <c r="K119" s="819">
        <f t="shared" si="2"/>
        <v>1</v>
      </c>
      <c r="L119" s="616"/>
      <c r="M119" s="387">
        <v>342000</v>
      </c>
      <c r="N119" s="613" t="s">
        <v>1004</v>
      </c>
      <c r="O119" s="616">
        <v>304000</v>
      </c>
      <c r="P119"/>
      <c r="Q119"/>
      <c r="R119"/>
      <c r="S119"/>
      <c r="T119"/>
      <c r="U119"/>
    </row>
    <row r="120" spans="1:21" ht="15.75" customHeight="1">
      <c r="A120" s="612" t="s">
        <v>191</v>
      </c>
      <c r="B120" s="613" t="s">
        <v>780</v>
      </c>
      <c r="C120" s="613" t="s">
        <v>781</v>
      </c>
      <c r="D120" s="387">
        <v>342000</v>
      </c>
      <c r="E120" s="387">
        <v>0</v>
      </c>
      <c r="F120" s="387">
        <v>0</v>
      </c>
      <c r="G120" s="387">
        <v>0</v>
      </c>
      <c r="H120" s="387">
        <v>0</v>
      </c>
      <c r="I120" s="387">
        <v>0</v>
      </c>
      <c r="J120" s="387">
        <v>342000</v>
      </c>
      <c r="K120" s="819">
        <f t="shared" si="2"/>
        <v>1</v>
      </c>
      <c r="L120" s="616"/>
      <c r="M120" s="387">
        <v>342000</v>
      </c>
      <c r="N120" s="613" t="s">
        <v>1012</v>
      </c>
      <c r="O120" s="616">
        <v>389000</v>
      </c>
      <c r="P120"/>
      <c r="Q120"/>
      <c r="R120"/>
      <c r="S120"/>
      <c r="T120"/>
      <c r="U120"/>
    </row>
    <row r="121" spans="1:21" ht="15.75" customHeight="1">
      <c r="A121" s="612" t="s">
        <v>191</v>
      </c>
      <c r="B121" s="613" t="s">
        <v>1054</v>
      </c>
      <c r="C121" s="613" t="s">
        <v>1055</v>
      </c>
      <c r="D121" s="387">
        <v>325000</v>
      </c>
      <c r="E121" s="387">
        <v>0</v>
      </c>
      <c r="F121" s="387">
        <v>0</v>
      </c>
      <c r="G121" s="387">
        <v>0</v>
      </c>
      <c r="H121" s="387">
        <v>0</v>
      </c>
      <c r="I121" s="387">
        <v>0</v>
      </c>
      <c r="J121" s="387">
        <v>325000</v>
      </c>
      <c r="K121" s="819">
        <f t="shared" si="2"/>
        <v>0.90027700831024926</v>
      </c>
      <c r="L121" s="616"/>
      <c r="M121" s="387">
        <v>361000</v>
      </c>
      <c r="N121" s="613" t="s">
        <v>392</v>
      </c>
      <c r="O121" s="616">
        <v>408000</v>
      </c>
      <c r="P121"/>
      <c r="Q121"/>
      <c r="R121"/>
      <c r="S121"/>
      <c r="T121"/>
      <c r="U121"/>
    </row>
    <row r="122" spans="1:21" ht="15.75" customHeight="1">
      <c r="A122" s="612" t="s">
        <v>191</v>
      </c>
      <c r="B122" s="613" t="s">
        <v>425</v>
      </c>
      <c r="C122" s="613" t="s">
        <v>426</v>
      </c>
      <c r="D122" s="387">
        <v>323650</v>
      </c>
      <c r="E122" s="387">
        <v>0</v>
      </c>
      <c r="F122" s="387">
        <v>0</v>
      </c>
      <c r="G122" s="387">
        <v>0</v>
      </c>
      <c r="H122" s="387">
        <v>0</v>
      </c>
      <c r="I122" s="387">
        <v>0</v>
      </c>
      <c r="J122" s="387">
        <v>323650</v>
      </c>
      <c r="K122" s="819">
        <f t="shared" si="2"/>
        <v>1.1769090909090909</v>
      </c>
      <c r="L122" s="616"/>
      <c r="M122" s="387">
        <v>275000</v>
      </c>
      <c r="N122" s="613" t="s">
        <v>641</v>
      </c>
      <c r="O122" s="616">
        <v>427000</v>
      </c>
      <c r="P122"/>
      <c r="Q122"/>
      <c r="R122"/>
      <c r="S122"/>
      <c r="T122"/>
      <c r="U122"/>
    </row>
    <row r="123" spans="1:21" ht="15.75" customHeight="1">
      <c r="A123" s="612" t="s">
        <v>191</v>
      </c>
      <c r="B123" s="613" t="s">
        <v>1056</v>
      </c>
      <c r="C123" s="613" t="s">
        <v>1057</v>
      </c>
      <c r="D123" s="387">
        <v>323000</v>
      </c>
      <c r="E123" s="387">
        <v>0</v>
      </c>
      <c r="F123" s="387">
        <v>0</v>
      </c>
      <c r="G123" s="387">
        <v>0</v>
      </c>
      <c r="H123" s="387">
        <v>0</v>
      </c>
      <c r="I123" s="387">
        <v>0</v>
      </c>
      <c r="J123" s="387">
        <v>323000</v>
      </c>
      <c r="K123" s="819">
        <f t="shared" si="2"/>
        <v>1</v>
      </c>
      <c r="L123" s="616"/>
      <c r="M123" s="387">
        <v>323000</v>
      </c>
      <c r="N123" s="613" t="s">
        <v>990</v>
      </c>
      <c r="O123" s="616">
        <v>408000</v>
      </c>
      <c r="P123"/>
      <c r="Q123"/>
      <c r="R123"/>
      <c r="S123"/>
      <c r="T123"/>
      <c r="U123"/>
    </row>
    <row r="124" spans="1:21" ht="15.75" customHeight="1">
      <c r="A124" s="612" t="s">
        <v>191</v>
      </c>
      <c r="B124" s="613" t="s">
        <v>1058</v>
      </c>
      <c r="C124" s="613" t="s">
        <v>1059</v>
      </c>
      <c r="D124" s="387">
        <v>304000</v>
      </c>
      <c r="E124" s="387">
        <v>0</v>
      </c>
      <c r="F124" s="387">
        <v>0</v>
      </c>
      <c r="G124" s="387">
        <v>0</v>
      </c>
      <c r="H124" s="387">
        <v>0</v>
      </c>
      <c r="I124" s="387">
        <v>0</v>
      </c>
      <c r="J124" s="387">
        <v>304000</v>
      </c>
      <c r="K124" s="819">
        <f t="shared" si="2"/>
        <v>1</v>
      </c>
      <c r="L124" s="616"/>
      <c r="M124" s="387">
        <v>304000</v>
      </c>
      <c r="N124" s="613" t="s">
        <v>414</v>
      </c>
      <c r="O124" s="616">
        <v>456000</v>
      </c>
      <c r="P124"/>
      <c r="Q124"/>
      <c r="R124"/>
      <c r="S124"/>
      <c r="T124"/>
      <c r="U124"/>
    </row>
    <row r="125" spans="1:21" ht="15.75" customHeight="1">
      <c r="A125" s="612" t="s">
        <v>773</v>
      </c>
      <c r="B125" s="613" t="s">
        <v>521</v>
      </c>
      <c r="C125" s="613" t="s">
        <v>520</v>
      </c>
      <c r="D125" s="387">
        <v>159000</v>
      </c>
      <c r="E125" s="387">
        <v>0</v>
      </c>
      <c r="F125" s="387">
        <v>0</v>
      </c>
      <c r="G125" s="387">
        <v>130000</v>
      </c>
      <c r="H125" s="387">
        <v>0</v>
      </c>
      <c r="I125" s="387">
        <v>0</v>
      </c>
      <c r="J125" s="387">
        <v>289000</v>
      </c>
      <c r="K125" s="819">
        <f t="shared" si="2"/>
        <v>0.46491228070175439</v>
      </c>
      <c r="L125" s="616"/>
      <c r="M125" s="387">
        <v>342000</v>
      </c>
      <c r="N125" s="613" t="s">
        <v>659</v>
      </c>
      <c r="O125" s="616">
        <v>408000</v>
      </c>
      <c r="P125"/>
      <c r="Q125"/>
      <c r="R125"/>
      <c r="S125"/>
      <c r="T125"/>
      <c r="U125"/>
    </row>
    <row r="126" spans="1:21" ht="15.75" customHeight="1">
      <c r="A126" s="612" t="s">
        <v>191</v>
      </c>
      <c r="B126" s="613" t="s">
        <v>1060</v>
      </c>
      <c r="C126" s="613" t="s">
        <v>1061</v>
      </c>
      <c r="D126" s="387">
        <v>286000</v>
      </c>
      <c r="E126" s="387">
        <v>0</v>
      </c>
      <c r="F126" s="387">
        <v>0</v>
      </c>
      <c r="G126" s="387">
        <v>0</v>
      </c>
      <c r="H126" s="387">
        <v>0</v>
      </c>
      <c r="I126" s="387">
        <v>0</v>
      </c>
      <c r="J126" s="387">
        <v>286000</v>
      </c>
      <c r="K126" s="819">
        <f t="shared" si="2"/>
        <v>0.88544891640866874</v>
      </c>
      <c r="L126" s="616"/>
      <c r="M126" s="387">
        <v>323000</v>
      </c>
      <c r="N126" s="613" t="s">
        <v>388</v>
      </c>
      <c r="O126" s="616">
        <v>298000</v>
      </c>
      <c r="P126"/>
      <c r="Q126"/>
      <c r="R126"/>
      <c r="S126"/>
      <c r="T126"/>
      <c r="U126"/>
    </row>
    <row r="127" spans="1:21" ht="15.75" customHeight="1">
      <c r="A127" s="612" t="s">
        <v>191</v>
      </c>
      <c r="B127" s="613" t="s">
        <v>729</v>
      </c>
      <c r="C127" s="613" t="s">
        <v>787</v>
      </c>
      <c r="D127" s="387">
        <v>285000</v>
      </c>
      <c r="E127" s="387">
        <v>0</v>
      </c>
      <c r="F127" s="387">
        <v>0</v>
      </c>
      <c r="G127" s="387">
        <v>0</v>
      </c>
      <c r="H127" s="387">
        <v>0</v>
      </c>
      <c r="I127" s="387">
        <v>0</v>
      </c>
      <c r="J127" s="387">
        <v>285000</v>
      </c>
      <c r="K127" s="819">
        <f t="shared" si="2"/>
        <v>1</v>
      </c>
      <c r="L127" s="616"/>
      <c r="M127" s="387">
        <v>285000</v>
      </c>
      <c r="N127" s="613" t="s">
        <v>412</v>
      </c>
      <c r="O127" s="616">
        <v>389000</v>
      </c>
      <c r="P127"/>
      <c r="Q127"/>
      <c r="R127"/>
      <c r="S127"/>
      <c r="T127"/>
      <c r="U127"/>
    </row>
    <row r="128" spans="1:21" ht="15.75" customHeight="1">
      <c r="A128" s="612" t="s">
        <v>191</v>
      </c>
      <c r="B128" s="613" t="s">
        <v>1006</v>
      </c>
      <c r="C128" s="613" t="s">
        <v>1007</v>
      </c>
      <c r="D128" s="387">
        <v>275000</v>
      </c>
      <c r="E128" s="387">
        <v>0</v>
      </c>
      <c r="F128" s="387">
        <v>0</v>
      </c>
      <c r="G128" s="387">
        <v>0</v>
      </c>
      <c r="H128" s="387">
        <v>0</v>
      </c>
      <c r="I128" s="387">
        <v>0</v>
      </c>
      <c r="J128" s="387">
        <v>275000</v>
      </c>
      <c r="K128" s="819">
        <f t="shared" si="2"/>
        <v>1</v>
      </c>
      <c r="L128" s="616"/>
      <c r="M128" s="387">
        <v>275000</v>
      </c>
      <c r="N128" s="613" t="s">
        <v>396</v>
      </c>
      <c r="O128" s="616">
        <v>342000</v>
      </c>
      <c r="P128"/>
      <c r="Q128"/>
      <c r="R128"/>
      <c r="S128"/>
      <c r="T128"/>
      <c r="U128"/>
    </row>
    <row r="129" spans="1:21" ht="15.75" customHeight="1">
      <c r="A129" s="612" t="s">
        <v>191</v>
      </c>
      <c r="B129" s="613" t="s">
        <v>1008</v>
      </c>
      <c r="C129" s="613" t="s">
        <v>1009</v>
      </c>
      <c r="D129" s="387">
        <v>275000</v>
      </c>
      <c r="E129" s="387">
        <v>0</v>
      </c>
      <c r="F129" s="387">
        <v>0</v>
      </c>
      <c r="G129" s="387">
        <v>0</v>
      </c>
      <c r="H129" s="387">
        <v>0</v>
      </c>
      <c r="I129" s="387">
        <v>0</v>
      </c>
      <c r="J129" s="387">
        <v>275000</v>
      </c>
      <c r="K129" s="819">
        <f t="shared" si="2"/>
        <v>1</v>
      </c>
      <c r="L129" s="616"/>
      <c r="M129" s="387">
        <v>275000</v>
      </c>
      <c r="N129" s="613" t="s">
        <v>505</v>
      </c>
      <c r="O129" s="616">
        <v>342000</v>
      </c>
      <c r="P129"/>
      <c r="Q129"/>
      <c r="R129"/>
      <c r="S129"/>
      <c r="T129"/>
      <c r="U129"/>
    </row>
    <row r="130" spans="1:21" ht="15.75" customHeight="1">
      <c r="A130" s="612" t="s">
        <v>191</v>
      </c>
      <c r="B130" s="613" t="s">
        <v>1062</v>
      </c>
      <c r="C130" s="613" t="s">
        <v>1063</v>
      </c>
      <c r="D130" s="387">
        <v>274000</v>
      </c>
      <c r="E130" s="387">
        <v>0</v>
      </c>
      <c r="F130" s="387">
        <v>0</v>
      </c>
      <c r="G130" s="387">
        <v>0</v>
      </c>
      <c r="H130" s="387">
        <v>0</v>
      </c>
      <c r="I130" s="387">
        <v>0</v>
      </c>
      <c r="J130" s="387">
        <v>274000</v>
      </c>
      <c r="K130" s="819">
        <f t="shared" si="2"/>
        <v>0.99636363636363634</v>
      </c>
      <c r="L130" s="616"/>
      <c r="M130" s="387">
        <v>275000</v>
      </c>
      <c r="N130" s="613" t="s">
        <v>788</v>
      </c>
      <c r="O130" s="616">
        <v>380000</v>
      </c>
      <c r="P130"/>
      <c r="Q130"/>
      <c r="R130"/>
      <c r="S130"/>
      <c r="T130"/>
      <c r="U130"/>
    </row>
    <row r="131" spans="1:21" ht="15.75" customHeight="1">
      <c r="A131" s="612" t="s">
        <v>191</v>
      </c>
      <c r="B131" s="613" t="s">
        <v>1064</v>
      </c>
      <c r="C131" s="613" t="s">
        <v>1065</v>
      </c>
      <c r="D131" s="387">
        <v>247000</v>
      </c>
      <c r="E131" s="387">
        <v>0</v>
      </c>
      <c r="F131" s="387">
        <v>0</v>
      </c>
      <c r="G131" s="387">
        <v>0</v>
      </c>
      <c r="H131" s="387">
        <v>0</v>
      </c>
      <c r="I131" s="387">
        <v>0</v>
      </c>
      <c r="J131" s="387">
        <v>247000</v>
      </c>
      <c r="K131" s="819">
        <f t="shared" si="2"/>
        <v>0.89818181818181819</v>
      </c>
      <c r="L131" s="616"/>
      <c r="M131" s="387">
        <v>275000</v>
      </c>
      <c r="N131" s="613" t="s">
        <v>390</v>
      </c>
      <c r="O131" s="616">
        <v>300000</v>
      </c>
      <c r="P131"/>
      <c r="Q131"/>
      <c r="R131"/>
      <c r="S131"/>
      <c r="T131"/>
      <c r="U131"/>
    </row>
    <row r="132" spans="1:21" ht="15.75" customHeight="1">
      <c r="A132" s="612" t="s">
        <v>191</v>
      </c>
      <c r="B132" s="613" t="s">
        <v>418</v>
      </c>
      <c r="C132" s="613" t="s">
        <v>419</v>
      </c>
      <c r="D132" s="387">
        <v>246600</v>
      </c>
      <c r="E132" s="387">
        <v>0</v>
      </c>
      <c r="F132" s="387">
        <v>0</v>
      </c>
      <c r="G132" s="387">
        <v>0</v>
      </c>
      <c r="H132" s="387">
        <v>0</v>
      </c>
      <c r="I132" s="387">
        <v>0</v>
      </c>
      <c r="J132" s="387">
        <v>246600</v>
      </c>
      <c r="K132" s="819">
        <f t="shared" si="2"/>
        <v>0.70256410256410251</v>
      </c>
      <c r="L132" s="616"/>
      <c r="M132" s="387">
        <v>351000</v>
      </c>
      <c r="N132" s="613" t="s">
        <v>407</v>
      </c>
      <c r="O132" s="616">
        <v>380000</v>
      </c>
      <c r="P132"/>
      <c r="Q132"/>
      <c r="R132"/>
      <c r="S132"/>
      <c r="T132"/>
      <c r="U132"/>
    </row>
    <row r="133" spans="1:21" ht="15.75" customHeight="1">
      <c r="A133" s="612" t="s">
        <v>191</v>
      </c>
      <c r="B133" s="613" t="s">
        <v>407</v>
      </c>
      <c r="C133" s="613" t="s">
        <v>408</v>
      </c>
      <c r="D133" s="387">
        <v>177000</v>
      </c>
      <c r="E133" s="387">
        <v>0</v>
      </c>
      <c r="F133" s="387">
        <v>0</v>
      </c>
      <c r="G133" s="387">
        <v>0</v>
      </c>
      <c r="H133" s="387">
        <v>3600</v>
      </c>
      <c r="I133" s="387">
        <v>0</v>
      </c>
      <c r="J133" s="387">
        <v>180600</v>
      </c>
      <c r="K133" s="819">
        <f t="shared" si="2"/>
        <v>0.46578947368421053</v>
      </c>
      <c r="L133" s="616"/>
      <c r="M133" s="387">
        <v>380000</v>
      </c>
      <c r="N133" s="613" t="s">
        <v>1002</v>
      </c>
      <c r="O133" s="616">
        <v>342000</v>
      </c>
      <c r="P133"/>
      <c r="Q133"/>
      <c r="R133"/>
      <c r="S133"/>
      <c r="T133"/>
      <c r="U133"/>
    </row>
    <row r="134" spans="1:21" ht="15.75" customHeight="1">
      <c r="A134" s="612" t="s">
        <v>191</v>
      </c>
      <c r="B134" s="613" t="s">
        <v>1010</v>
      </c>
      <c r="C134" s="613" t="s">
        <v>1011</v>
      </c>
      <c r="D134" s="387">
        <v>155000</v>
      </c>
      <c r="E134" s="387">
        <v>0</v>
      </c>
      <c r="F134" s="387">
        <v>0</v>
      </c>
      <c r="G134" s="387">
        <v>0</v>
      </c>
      <c r="H134" s="387">
        <v>0</v>
      </c>
      <c r="I134" s="387">
        <v>0</v>
      </c>
      <c r="J134" s="387">
        <v>155000</v>
      </c>
      <c r="K134" s="819"/>
      <c r="L134" s="616"/>
      <c r="M134" s="387"/>
      <c r="N134" s="613"/>
      <c r="O134" s="616"/>
      <c r="P134"/>
      <c r="Q134"/>
      <c r="R134"/>
      <c r="S134"/>
      <c r="T134"/>
      <c r="U134"/>
    </row>
    <row r="135" spans="1:21" ht="15.75" customHeight="1">
      <c r="A135" s="612" t="s">
        <v>191</v>
      </c>
      <c r="B135" s="613" t="s">
        <v>505</v>
      </c>
      <c r="C135" s="613" t="s">
        <v>504</v>
      </c>
      <c r="D135" s="387">
        <v>148750</v>
      </c>
      <c r="E135" s="387">
        <v>0</v>
      </c>
      <c r="F135" s="387">
        <v>0</v>
      </c>
      <c r="G135" s="387">
        <v>0</v>
      </c>
      <c r="H135" s="387">
        <v>5500</v>
      </c>
      <c r="I135" s="387">
        <v>0</v>
      </c>
      <c r="J135" s="387">
        <v>154250</v>
      </c>
      <c r="K135" s="819"/>
      <c r="L135" s="616"/>
      <c r="M135" s="387"/>
      <c r="N135" s="613"/>
      <c r="O135" s="616"/>
      <c r="P135"/>
      <c r="Q135"/>
      <c r="R135"/>
      <c r="S135"/>
      <c r="T135"/>
      <c r="U135"/>
    </row>
    <row r="136" spans="1:21" ht="15.75" customHeight="1">
      <c r="A136" s="612" t="s">
        <v>191</v>
      </c>
      <c r="B136" s="613" t="s">
        <v>647</v>
      </c>
      <c r="C136" s="613" t="s">
        <v>646</v>
      </c>
      <c r="D136" s="387">
        <v>43700</v>
      </c>
      <c r="E136" s="387">
        <v>0</v>
      </c>
      <c r="F136" s="387">
        <v>0</v>
      </c>
      <c r="G136" s="387">
        <v>0</v>
      </c>
      <c r="H136" s="387">
        <v>0</v>
      </c>
      <c r="I136" s="387">
        <v>0</v>
      </c>
      <c r="J136" s="387">
        <v>43700</v>
      </c>
      <c r="K136" s="819"/>
      <c r="L136" s="616"/>
      <c r="M136" s="387"/>
      <c r="N136" s="613"/>
      <c r="O136" s="616"/>
      <c r="P136"/>
      <c r="Q136"/>
      <c r="R136"/>
      <c r="S136"/>
      <c r="T136"/>
      <c r="U136"/>
    </row>
    <row r="137" spans="1:21" ht="15.75" customHeight="1">
      <c r="A137" s="612" t="s">
        <v>191</v>
      </c>
      <c r="B137" s="613" t="s">
        <v>416</v>
      </c>
      <c r="C137" s="613" t="s">
        <v>417</v>
      </c>
      <c r="D137" s="387">
        <v>29100</v>
      </c>
      <c r="E137" s="387">
        <v>0</v>
      </c>
      <c r="F137" s="387">
        <v>0</v>
      </c>
      <c r="G137" s="387">
        <v>0</v>
      </c>
      <c r="H137" s="387">
        <v>0</v>
      </c>
      <c r="I137" s="387">
        <v>0</v>
      </c>
      <c r="J137" s="387">
        <v>29100</v>
      </c>
      <c r="K137" s="819"/>
      <c r="L137" s="616"/>
      <c r="M137" s="387"/>
      <c r="N137" s="613"/>
      <c r="O137" s="616"/>
      <c r="P137"/>
      <c r="Q137"/>
      <c r="R137"/>
      <c r="S137"/>
      <c r="T137"/>
      <c r="U137"/>
    </row>
    <row r="138" spans="1:21" ht="15.75" customHeight="1">
      <c r="A138" s="612" t="s">
        <v>191</v>
      </c>
      <c r="B138" s="613" t="s">
        <v>1012</v>
      </c>
      <c r="C138" s="613" t="s">
        <v>1013</v>
      </c>
      <c r="D138" s="387">
        <v>0</v>
      </c>
      <c r="E138" s="387">
        <v>0</v>
      </c>
      <c r="F138" s="387">
        <v>0</v>
      </c>
      <c r="G138" s="387">
        <v>28000</v>
      </c>
      <c r="H138" s="387">
        <v>0</v>
      </c>
      <c r="I138" s="387">
        <v>0</v>
      </c>
      <c r="J138" s="387">
        <v>28000</v>
      </c>
      <c r="K138" s="819"/>
      <c r="L138" s="616"/>
      <c r="M138" s="387"/>
      <c r="N138" s="613"/>
      <c r="O138" s="616"/>
      <c r="P138"/>
      <c r="Q138"/>
      <c r="R138"/>
      <c r="S138"/>
      <c r="T138"/>
      <c r="U138"/>
    </row>
    <row r="139" spans="1:21" ht="15.75" customHeight="1">
      <c r="A139" s="612" t="s">
        <v>191</v>
      </c>
      <c r="B139" s="613" t="s">
        <v>659</v>
      </c>
      <c r="C139" s="613" t="s">
        <v>658</v>
      </c>
      <c r="D139" s="387">
        <v>20000</v>
      </c>
      <c r="E139" s="387">
        <v>0</v>
      </c>
      <c r="F139" s="387">
        <v>0</v>
      </c>
      <c r="G139" s="387">
        <v>0</v>
      </c>
      <c r="H139" s="387">
        <v>400</v>
      </c>
      <c r="I139" s="387">
        <v>0</v>
      </c>
      <c r="J139" s="387">
        <v>20400</v>
      </c>
      <c r="K139" s="819"/>
      <c r="L139" s="616"/>
      <c r="M139" s="387"/>
      <c r="N139" s="613"/>
      <c r="O139" s="616"/>
      <c r="P139"/>
      <c r="Q139"/>
      <c r="R139"/>
      <c r="S139"/>
      <c r="T139"/>
      <c r="U139"/>
    </row>
    <row r="140" spans="1:21" ht="15.75" customHeight="1">
      <c r="A140" s="612" t="s">
        <v>191</v>
      </c>
      <c r="B140" s="613" t="s">
        <v>512</v>
      </c>
      <c r="C140" s="613" t="s">
        <v>511</v>
      </c>
      <c r="D140" s="387">
        <v>18700</v>
      </c>
      <c r="E140" s="387">
        <v>0</v>
      </c>
      <c r="F140" s="387">
        <v>0</v>
      </c>
      <c r="G140" s="387">
        <v>0</v>
      </c>
      <c r="H140" s="387">
        <v>0</v>
      </c>
      <c r="I140" s="387">
        <v>0</v>
      </c>
      <c r="J140" s="387">
        <v>18700</v>
      </c>
      <c r="K140" s="819"/>
      <c r="L140" s="616"/>
      <c r="M140" s="387"/>
      <c r="N140" s="613"/>
      <c r="O140" s="616"/>
      <c r="P140"/>
      <c r="Q140"/>
      <c r="R140"/>
      <c r="S140"/>
      <c r="T140"/>
      <c r="U140"/>
    </row>
    <row r="141" spans="1:21" ht="15.75" customHeight="1">
      <c r="A141" s="612" t="s">
        <v>191</v>
      </c>
      <c r="B141" s="613" t="s">
        <v>782</v>
      </c>
      <c r="C141" s="613" t="s">
        <v>783</v>
      </c>
      <c r="D141" s="387">
        <v>4000</v>
      </c>
      <c r="E141" s="387">
        <v>0</v>
      </c>
      <c r="F141" s="387">
        <v>0</v>
      </c>
      <c r="G141" s="387">
        <v>0</v>
      </c>
      <c r="H141" s="387">
        <v>0</v>
      </c>
      <c r="I141" s="387">
        <v>0</v>
      </c>
      <c r="J141" s="387">
        <v>4000</v>
      </c>
      <c r="K141" s="819"/>
      <c r="L141" s="616"/>
      <c r="M141" s="387"/>
      <c r="N141" s="613"/>
      <c r="O141" s="616"/>
      <c r="P141"/>
      <c r="Q141"/>
      <c r="R141"/>
      <c r="S141"/>
      <c r="T141"/>
      <c r="U141"/>
    </row>
    <row r="142" spans="1:21" ht="15.75" customHeight="1">
      <c r="A142" s="612" t="s">
        <v>191</v>
      </c>
      <c r="B142" s="613" t="s">
        <v>1066</v>
      </c>
      <c r="C142" s="613" t="s">
        <v>1067</v>
      </c>
      <c r="D142" s="387">
        <v>700</v>
      </c>
      <c r="E142" s="387">
        <v>0</v>
      </c>
      <c r="F142" s="387">
        <v>0</v>
      </c>
      <c r="G142" s="387">
        <v>0</v>
      </c>
      <c r="H142" s="387">
        <v>0</v>
      </c>
      <c r="I142" s="387">
        <v>0</v>
      </c>
      <c r="J142" s="387">
        <v>700</v>
      </c>
      <c r="K142" s="819"/>
      <c r="L142" s="616"/>
      <c r="M142" s="387"/>
      <c r="N142" s="613"/>
      <c r="O142" s="616"/>
      <c r="P142"/>
      <c r="Q142"/>
      <c r="R142"/>
      <c r="S142"/>
      <c r="T142"/>
      <c r="U142"/>
    </row>
    <row r="143" spans="1:21" ht="15.75" customHeight="1">
      <c r="A143" s="607"/>
      <c r="B143" s="607"/>
      <c r="C143" s="607"/>
      <c r="D143" s="820">
        <f>SUM(D88:D142)</f>
        <v>85603604</v>
      </c>
      <c r="E143" s="820">
        <f t="shared" ref="E143:J143" si="5">SUM(E88:E142)</f>
        <v>2468550</v>
      </c>
      <c r="F143" s="820">
        <f t="shared" si="5"/>
        <v>928600</v>
      </c>
      <c r="G143" s="820">
        <f t="shared" si="5"/>
        <v>1268000</v>
      </c>
      <c r="H143" s="820">
        <f t="shared" si="5"/>
        <v>18805400</v>
      </c>
      <c r="I143" s="820">
        <f t="shared" si="5"/>
        <v>953600</v>
      </c>
      <c r="J143" s="820">
        <f t="shared" si="5"/>
        <v>110027754</v>
      </c>
      <c r="K143" s="821"/>
      <c r="L143" s="616"/>
      <c r="M143" s="616"/>
      <c r="N143" s="616"/>
      <c r="O143" s="616"/>
      <c r="P143"/>
      <c r="Q143"/>
      <c r="R143"/>
      <c r="S143"/>
      <c r="T143"/>
      <c r="U143"/>
    </row>
    <row r="144" spans="1:21" ht="15.75" customHeight="1">
      <c r="A144" s="607"/>
      <c r="B144" s="607"/>
      <c r="C144" s="615"/>
      <c r="D144" s="620"/>
      <c r="E144" s="620"/>
      <c r="F144" s="608"/>
      <c r="G144" s="620"/>
      <c r="H144" s="608"/>
      <c r="I144" s="608"/>
      <c r="J144" s="608"/>
      <c r="K144" s="817"/>
      <c r="L144" s="616"/>
      <c r="M144" s="616"/>
      <c r="N144" s="616"/>
      <c r="O144" s="616"/>
      <c r="P144"/>
      <c r="Q144"/>
      <c r="R144"/>
      <c r="S144"/>
      <c r="T144"/>
      <c r="U144"/>
    </row>
    <row r="145" spans="1:10" ht="15.75" customHeight="1">
      <c r="D145" s="551">
        <f>+D143+E143+F143+G143+I143</f>
        <v>91222354</v>
      </c>
    </row>
    <row r="146" spans="1:10" ht="15.75" customHeight="1">
      <c r="D146" s="551">
        <v>90417254</v>
      </c>
    </row>
    <row r="147" spans="1:10" ht="15.75" customHeight="1">
      <c r="D147" s="551">
        <f>+D145-D146</f>
        <v>805100</v>
      </c>
    </row>
    <row r="160" spans="1:10" ht="15.75" customHeight="1">
      <c r="A160" s="636"/>
      <c r="B160" s="637"/>
      <c r="C160" s="863" t="s">
        <v>982</v>
      </c>
      <c r="D160" s="863"/>
      <c r="E160" s="863"/>
      <c r="F160" s="604"/>
      <c r="G160" s="604"/>
      <c r="H160" s="604"/>
      <c r="I160" s="604"/>
      <c r="J160" s="604"/>
    </row>
    <row r="161" spans="1:11" ht="15.75" customHeight="1">
      <c r="A161" s="636"/>
      <c r="B161" s="637"/>
      <c r="C161" s="863" t="s">
        <v>983</v>
      </c>
      <c r="D161" s="863"/>
      <c r="E161" s="863"/>
      <c r="F161" s="604"/>
      <c r="G161" s="604"/>
      <c r="H161" s="604"/>
      <c r="I161" s="604"/>
      <c r="J161" s="604"/>
    </row>
    <row r="162" spans="1:11" ht="15.75" customHeight="1">
      <c r="A162" s="638" t="s">
        <v>191</v>
      </c>
      <c r="B162" s="637"/>
      <c r="C162" s="863" t="s">
        <v>984</v>
      </c>
      <c r="D162" s="863"/>
      <c r="E162" s="863"/>
      <c r="F162" s="604"/>
      <c r="G162" s="604"/>
      <c r="H162" s="604"/>
      <c r="I162" s="604"/>
      <c r="J162" s="604"/>
    </row>
    <row r="163" spans="1:11" ht="15.75" customHeight="1">
      <c r="A163" s="607"/>
      <c r="B163" s="607"/>
      <c r="C163" s="607"/>
      <c r="D163" s="594"/>
      <c r="E163" s="594"/>
      <c r="F163" s="594"/>
      <c r="G163" s="594"/>
      <c r="H163" s="594"/>
      <c r="I163" s="608"/>
      <c r="J163" s="608"/>
    </row>
    <row r="164" spans="1:11" ht="30.75" customHeight="1">
      <c r="A164" s="642" t="s">
        <v>763</v>
      </c>
      <c r="B164" s="642" t="s">
        <v>764</v>
      </c>
      <c r="C164" s="642" t="s">
        <v>765</v>
      </c>
      <c r="D164" s="642" t="s">
        <v>766</v>
      </c>
      <c r="E164" s="642" t="s">
        <v>767</v>
      </c>
      <c r="F164" s="642" t="s">
        <v>768</v>
      </c>
      <c r="G164" s="811" t="s">
        <v>1014</v>
      </c>
      <c r="H164" s="642" t="s">
        <v>770</v>
      </c>
      <c r="I164" s="642" t="s">
        <v>771</v>
      </c>
      <c r="J164" s="642" t="s">
        <v>710</v>
      </c>
    </row>
    <row r="165" spans="1:11" ht="15.75" customHeight="1">
      <c r="A165" s="612" t="s">
        <v>384</v>
      </c>
      <c r="B165" s="613" t="s">
        <v>383</v>
      </c>
      <c r="C165" s="613" t="s">
        <v>385</v>
      </c>
      <c r="D165" s="387">
        <v>15692000</v>
      </c>
      <c r="E165" s="387">
        <v>1125000</v>
      </c>
      <c r="F165" s="387">
        <v>299050</v>
      </c>
      <c r="G165" s="387">
        <f>632000+8000</f>
        <v>640000</v>
      </c>
      <c r="H165" s="387">
        <f>10807500+403300</f>
        <v>11210800</v>
      </c>
      <c r="I165" s="387">
        <f>416400-403300</f>
        <v>13100</v>
      </c>
      <c r="J165" s="387">
        <v>28979950</v>
      </c>
    </row>
    <row r="166" spans="1:11" ht="15.75" customHeight="1">
      <c r="A166" s="612" t="s">
        <v>384</v>
      </c>
      <c r="B166" s="613" t="s">
        <v>388</v>
      </c>
      <c r="C166" s="613" t="s">
        <v>389</v>
      </c>
      <c r="D166" s="387">
        <v>11920000</v>
      </c>
      <c r="E166" s="387">
        <v>945000</v>
      </c>
      <c r="F166" s="387">
        <v>300050</v>
      </c>
      <c r="G166" s="387">
        <v>0</v>
      </c>
      <c r="H166" s="387">
        <f>4903500+321300</f>
        <v>5224800</v>
      </c>
      <c r="I166" s="387">
        <f>385800-321300</f>
        <v>64500</v>
      </c>
      <c r="J166" s="387">
        <v>18454350</v>
      </c>
    </row>
    <row r="167" spans="1:11" ht="15.75" customHeight="1">
      <c r="A167" s="612" t="s">
        <v>384</v>
      </c>
      <c r="B167" s="613" t="s">
        <v>392</v>
      </c>
      <c r="C167" s="613" t="s">
        <v>393</v>
      </c>
      <c r="D167" s="387">
        <v>6937000</v>
      </c>
      <c r="E167" s="387">
        <v>398550</v>
      </c>
      <c r="F167" s="387">
        <v>101000</v>
      </c>
      <c r="G167" s="387">
        <v>28000</v>
      </c>
      <c r="H167" s="387">
        <f>1157400+135500</f>
        <v>1292900</v>
      </c>
      <c r="I167" s="387"/>
      <c r="J167" s="387">
        <v>8757450</v>
      </c>
    </row>
    <row r="168" spans="1:11" ht="15.75" customHeight="1">
      <c r="A168" s="612" t="s">
        <v>384</v>
      </c>
      <c r="B168" s="613" t="s">
        <v>390</v>
      </c>
      <c r="C168" s="613" t="s">
        <v>391</v>
      </c>
      <c r="D168" s="387">
        <v>6242376</v>
      </c>
      <c r="E168" s="387">
        <v>0</v>
      </c>
      <c r="F168" s="387">
        <v>0</v>
      </c>
      <c r="G168" s="387">
        <v>28000</v>
      </c>
      <c r="H168" s="387">
        <v>358900</v>
      </c>
      <c r="I168" s="387">
        <v>0</v>
      </c>
      <c r="J168" s="387">
        <v>6629276</v>
      </c>
    </row>
    <row r="169" spans="1:11" ht="15.75" customHeight="1">
      <c r="A169" s="612" t="s">
        <v>384</v>
      </c>
      <c r="B169" s="613" t="s">
        <v>394</v>
      </c>
      <c r="C169" s="613" t="s">
        <v>395</v>
      </c>
      <c r="D169" s="387">
        <v>5401916</v>
      </c>
      <c r="E169" s="387">
        <v>0</v>
      </c>
      <c r="F169" s="387">
        <v>0</v>
      </c>
      <c r="G169" s="387">
        <v>0</v>
      </c>
      <c r="H169" s="387">
        <v>444800</v>
      </c>
      <c r="I169" s="387">
        <v>15900</v>
      </c>
      <c r="J169" s="387">
        <v>5862616</v>
      </c>
    </row>
    <row r="170" spans="1:11" ht="15.75" customHeight="1">
      <c r="A170" s="612" t="s">
        <v>384</v>
      </c>
      <c r="B170" s="613" t="s">
        <v>397</v>
      </c>
      <c r="C170" s="613" t="s">
        <v>398</v>
      </c>
      <c r="D170" s="387">
        <v>4616657</v>
      </c>
      <c r="E170" s="387">
        <v>0</v>
      </c>
      <c r="F170" s="387">
        <v>0</v>
      </c>
      <c r="G170" s="387">
        <v>0</v>
      </c>
      <c r="H170" s="387">
        <v>472700</v>
      </c>
      <c r="I170" s="387">
        <v>0</v>
      </c>
      <c r="J170" s="387">
        <v>5089357</v>
      </c>
    </row>
    <row r="171" spans="1:11" ht="15.75" customHeight="1">
      <c r="A171" s="612" t="s">
        <v>384</v>
      </c>
      <c r="B171" s="613" t="s">
        <v>399</v>
      </c>
      <c r="C171" s="613" t="s">
        <v>772</v>
      </c>
      <c r="D171" s="387">
        <v>4052000</v>
      </c>
      <c r="E171" s="387">
        <v>0</v>
      </c>
      <c r="F171" s="387">
        <v>82750</v>
      </c>
      <c r="G171" s="387">
        <v>28000</v>
      </c>
      <c r="H171" s="387">
        <v>463000</v>
      </c>
      <c r="I171" s="387">
        <v>0</v>
      </c>
      <c r="J171" s="387">
        <v>4625750</v>
      </c>
    </row>
    <row r="172" spans="1:11" ht="15.75" customHeight="1">
      <c r="A172" s="612" t="s">
        <v>191</v>
      </c>
      <c r="B172" s="613" t="s">
        <v>396</v>
      </c>
      <c r="C172" s="613" t="s">
        <v>486</v>
      </c>
      <c r="D172" s="387">
        <v>4128800</v>
      </c>
      <c r="E172" s="387">
        <v>0</v>
      </c>
      <c r="F172" s="387">
        <v>80750</v>
      </c>
      <c r="G172" s="387">
        <v>0</v>
      </c>
      <c r="H172" s="387">
        <v>78800</v>
      </c>
      <c r="I172" s="387">
        <v>0</v>
      </c>
      <c r="J172" s="387">
        <v>4288350</v>
      </c>
      <c r="K172" s="827" t="s">
        <v>1075</v>
      </c>
    </row>
    <row r="173" spans="1:11" ht="15.75" customHeight="1">
      <c r="A173" s="612" t="s">
        <v>384</v>
      </c>
      <c r="B173" s="613" t="s">
        <v>405</v>
      </c>
      <c r="C173" s="613" t="s">
        <v>985</v>
      </c>
      <c r="D173" s="387">
        <v>3808249</v>
      </c>
      <c r="E173" s="387">
        <v>0</v>
      </c>
      <c r="F173" s="387">
        <v>0</v>
      </c>
      <c r="G173" s="387">
        <v>0</v>
      </c>
      <c r="H173" s="387">
        <v>188600</v>
      </c>
      <c r="I173" s="387">
        <v>0</v>
      </c>
      <c r="J173" s="387">
        <v>3996849</v>
      </c>
      <c r="K173" s="809">
        <f>+K174/J211</f>
        <v>0.8519063649651607</v>
      </c>
    </row>
    <row r="174" spans="1:11" ht="15.75" customHeight="1">
      <c r="A174" s="612" t="s">
        <v>384</v>
      </c>
      <c r="B174" s="613" t="s">
        <v>401</v>
      </c>
      <c r="C174" s="613" t="s">
        <v>402</v>
      </c>
      <c r="D174" s="387">
        <v>2707740</v>
      </c>
      <c r="E174" s="387">
        <v>0</v>
      </c>
      <c r="F174" s="387">
        <v>65000</v>
      </c>
      <c r="G174" s="387">
        <v>56000</v>
      </c>
      <c r="H174" s="387">
        <v>220700</v>
      </c>
      <c r="I174" s="387">
        <v>0</v>
      </c>
      <c r="J174" s="387">
        <v>3049440</v>
      </c>
      <c r="K174" s="551">
        <f>SUM(J165:J174)</f>
        <v>89733388</v>
      </c>
    </row>
    <row r="175" spans="1:11" ht="15.75" customHeight="1">
      <c r="A175" s="612" t="s">
        <v>191</v>
      </c>
      <c r="B175" s="613" t="s">
        <v>639</v>
      </c>
      <c r="C175" s="613" t="s">
        <v>638</v>
      </c>
      <c r="D175" s="387">
        <v>1234000</v>
      </c>
      <c r="E175" s="387">
        <v>0</v>
      </c>
      <c r="F175" s="387">
        <v>0</v>
      </c>
      <c r="G175" s="387">
        <v>0</v>
      </c>
      <c r="H175" s="387">
        <v>26200</v>
      </c>
      <c r="I175" s="387">
        <v>0</v>
      </c>
      <c r="J175" s="387">
        <v>1260200</v>
      </c>
    </row>
    <row r="176" spans="1:11" ht="15.75" customHeight="1">
      <c r="A176" s="612" t="s">
        <v>191</v>
      </c>
      <c r="B176" s="613" t="s">
        <v>409</v>
      </c>
      <c r="C176" s="613" t="s">
        <v>410</v>
      </c>
      <c r="D176" s="387">
        <v>1193300</v>
      </c>
      <c r="E176" s="387">
        <v>0</v>
      </c>
      <c r="F176" s="387">
        <v>0</v>
      </c>
      <c r="G176" s="387">
        <v>0</v>
      </c>
      <c r="H176" s="387">
        <v>0</v>
      </c>
      <c r="I176" s="387">
        <v>0</v>
      </c>
      <c r="J176" s="387">
        <v>1193300</v>
      </c>
      <c r="K176" s="827" t="s">
        <v>1076</v>
      </c>
    </row>
    <row r="177" spans="1:13" ht="15.75" customHeight="1">
      <c r="A177" s="612" t="s">
        <v>191</v>
      </c>
      <c r="B177" s="613" t="s">
        <v>523</v>
      </c>
      <c r="C177" s="613" t="s">
        <v>522</v>
      </c>
      <c r="D177" s="387">
        <v>1021000</v>
      </c>
      <c r="E177" s="387">
        <v>0</v>
      </c>
      <c r="F177" s="387">
        <v>0</v>
      </c>
      <c r="G177" s="387">
        <v>56000</v>
      </c>
      <c r="H177" s="387">
        <v>21300</v>
      </c>
      <c r="I177" s="387">
        <v>0</v>
      </c>
      <c r="J177" s="387">
        <v>1098300</v>
      </c>
      <c r="K177" s="551">
        <f>SUM(J175:J207)</f>
        <v>15536266</v>
      </c>
    </row>
    <row r="178" spans="1:13" ht="15.75" customHeight="1">
      <c r="A178" s="612" t="s">
        <v>191</v>
      </c>
      <c r="B178" s="613" t="s">
        <v>403</v>
      </c>
      <c r="C178" s="613" t="s">
        <v>404</v>
      </c>
      <c r="D178" s="387">
        <v>939466</v>
      </c>
      <c r="E178" s="387">
        <v>0</v>
      </c>
      <c r="F178" s="387">
        <v>0</v>
      </c>
      <c r="G178" s="387">
        <v>0</v>
      </c>
      <c r="H178" s="387">
        <v>0</v>
      </c>
      <c r="I178" s="387">
        <v>0</v>
      </c>
      <c r="J178" s="387">
        <v>939466</v>
      </c>
      <c r="K178" s="809">
        <f>+K177/J211</f>
        <v>0.14749742752599307</v>
      </c>
      <c r="M178" s="644">
        <f>SUM(J178:J210)</f>
        <v>12047266</v>
      </c>
    </row>
    <row r="179" spans="1:13" ht="15.75" customHeight="1">
      <c r="A179" s="612" t="s">
        <v>191</v>
      </c>
      <c r="B179" s="613" t="s">
        <v>422</v>
      </c>
      <c r="C179" s="613" t="s">
        <v>524</v>
      </c>
      <c r="D179" s="387">
        <v>913000</v>
      </c>
      <c r="E179" s="387">
        <v>0</v>
      </c>
      <c r="F179" s="387">
        <v>0</v>
      </c>
      <c r="G179" s="387">
        <v>0</v>
      </c>
      <c r="H179" s="387">
        <v>19100</v>
      </c>
      <c r="I179" s="387">
        <v>0</v>
      </c>
      <c r="J179" s="387">
        <v>932100</v>
      </c>
      <c r="M179" s="815">
        <f>+M178/J211</f>
        <v>0.11437373328452027</v>
      </c>
    </row>
    <row r="180" spans="1:13" ht="15.75" customHeight="1">
      <c r="A180" s="612" t="s">
        <v>191</v>
      </c>
      <c r="B180" s="613" t="s">
        <v>416</v>
      </c>
      <c r="C180" s="613" t="s">
        <v>417</v>
      </c>
      <c r="D180" s="387">
        <v>703100</v>
      </c>
      <c r="E180" s="387">
        <v>0</v>
      </c>
      <c r="F180" s="387">
        <v>0</v>
      </c>
      <c r="G180" s="387">
        <v>0</v>
      </c>
      <c r="H180" s="387">
        <v>0</v>
      </c>
      <c r="I180" s="387">
        <v>0</v>
      </c>
      <c r="J180" s="387">
        <v>703100</v>
      </c>
    </row>
    <row r="181" spans="1:13" ht="15.75" customHeight="1">
      <c r="A181" s="612" t="s">
        <v>191</v>
      </c>
      <c r="B181" s="613" t="s">
        <v>442</v>
      </c>
      <c r="C181" s="613" t="s">
        <v>673</v>
      </c>
      <c r="D181" s="387">
        <v>608000</v>
      </c>
      <c r="E181" s="387">
        <v>0</v>
      </c>
      <c r="F181" s="387">
        <v>0</v>
      </c>
      <c r="G181" s="387">
        <v>0</v>
      </c>
      <c r="H181" s="387">
        <v>12700</v>
      </c>
      <c r="I181" s="387">
        <v>0</v>
      </c>
      <c r="J181" s="387">
        <v>620700</v>
      </c>
    </row>
    <row r="182" spans="1:13" ht="15.75" customHeight="1">
      <c r="A182" s="612" t="s">
        <v>191</v>
      </c>
      <c r="B182" s="613" t="s">
        <v>414</v>
      </c>
      <c r="C182" s="613" t="s">
        <v>415</v>
      </c>
      <c r="D182" s="387">
        <v>604000</v>
      </c>
      <c r="E182" s="387">
        <v>0</v>
      </c>
      <c r="F182" s="387">
        <v>0</v>
      </c>
      <c r="G182" s="387">
        <v>0</v>
      </c>
      <c r="H182" s="387">
        <v>0</v>
      </c>
      <c r="I182" s="387">
        <v>0</v>
      </c>
      <c r="J182" s="387">
        <v>604000</v>
      </c>
    </row>
    <row r="183" spans="1:13" ht="15.75" customHeight="1">
      <c r="A183" s="612" t="s">
        <v>191</v>
      </c>
      <c r="B183" s="613" t="s">
        <v>986</v>
      </c>
      <c r="C183" s="613" t="s">
        <v>987</v>
      </c>
      <c r="D183" s="387">
        <v>351000</v>
      </c>
      <c r="E183" s="387">
        <v>0</v>
      </c>
      <c r="F183" s="387">
        <v>0</v>
      </c>
      <c r="G183" s="387">
        <f>28000+165000</f>
        <v>193000</v>
      </c>
      <c r="H183" s="387">
        <v>0</v>
      </c>
      <c r="I183" s="387">
        <v>0</v>
      </c>
      <c r="J183" s="387">
        <v>544000</v>
      </c>
    </row>
    <row r="184" spans="1:13" ht="15.75" customHeight="1">
      <c r="A184" s="612" t="s">
        <v>773</v>
      </c>
      <c r="B184" s="613" t="s">
        <v>521</v>
      </c>
      <c r="C184" s="613" t="s">
        <v>520</v>
      </c>
      <c r="D184" s="387">
        <v>323000</v>
      </c>
      <c r="E184" s="387">
        <v>0</v>
      </c>
      <c r="F184" s="387">
        <v>0</v>
      </c>
      <c r="G184" s="387">
        <v>158000</v>
      </c>
      <c r="H184" s="387">
        <v>0</v>
      </c>
      <c r="I184" s="387">
        <v>0</v>
      </c>
      <c r="J184" s="387">
        <v>481000</v>
      </c>
    </row>
    <row r="185" spans="1:13" ht="15.75" customHeight="1">
      <c r="A185" s="612" t="s">
        <v>191</v>
      </c>
      <c r="B185" s="613" t="s">
        <v>988</v>
      </c>
      <c r="C185" s="613" t="s">
        <v>989</v>
      </c>
      <c r="D185" s="387">
        <v>475000</v>
      </c>
      <c r="E185" s="387">
        <v>0</v>
      </c>
      <c r="F185" s="387">
        <v>0</v>
      </c>
      <c r="G185" s="387">
        <v>0</v>
      </c>
      <c r="H185" s="387">
        <v>0</v>
      </c>
      <c r="I185" s="387">
        <v>0</v>
      </c>
      <c r="J185" s="387">
        <v>475000</v>
      </c>
    </row>
    <row r="186" spans="1:13" ht="15.75" customHeight="1">
      <c r="A186" s="612" t="s">
        <v>191</v>
      </c>
      <c r="B186" s="613" t="s">
        <v>659</v>
      </c>
      <c r="C186" s="613" t="s">
        <v>658</v>
      </c>
      <c r="D186" s="387">
        <v>429000</v>
      </c>
      <c r="E186" s="387">
        <v>0</v>
      </c>
      <c r="F186" s="387">
        <v>0</v>
      </c>
      <c r="G186" s="387">
        <v>0</v>
      </c>
      <c r="H186" s="387">
        <v>1400</v>
      </c>
      <c r="I186" s="387">
        <v>0</v>
      </c>
      <c r="J186" s="387">
        <v>430400</v>
      </c>
    </row>
    <row r="187" spans="1:13" ht="15.75" customHeight="1">
      <c r="A187" s="612" t="s">
        <v>191</v>
      </c>
      <c r="B187" s="613" t="s">
        <v>990</v>
      </c>
      <c r="C187" s="613" t="s">
        <v>991</v>
      </c>
      <c r="D187" s="387">
        <v>408000</v>
      </c>
      <c r="E187" s="387">
        <v>0</v>
      </c>
      <c r="F187" s="387">
        <v>0</v>
      </c>
      <c r="G187" s="387">
        <v>0</v>
      </c>
      <c r="H187" s="387">
        <v>0</v>
      </c>
      <c r="I187" s="387">
        <v>0</v>
      </c>
      <c r="J187" s="387">
        <v>408000</v>
      </c>
    </row>
    <row r="188" spans="1:13" ht="15.75" customHeight="1">
      <c r="A188" s="612" t="s">
        <v>191</v>
      </c>
      <c r="B188" s="613" t="s">
        <v>788</v>
      </c>
      <c r="C188" s="613" t="s">
        <v>789</v>
      </c>
      <c r="D188" s="387">
        <v>398700</v>
      </c>
      <c r="E188" s="387">
        <v>0</v>
      </c>
      <c r="F188" s="387">
        <v>0</v>
      </c>
      <c r="G188" s="387">
        <v>0</v>
      </c>
      <c r="H188" s="387">
        <v>400</v>
      </c>
      <c r="I188" s="387">
        <v>0</v>
      </c>
      <c r="J188" s="387">
        <v>399100</v>
      </c>
    </row>
    <row r="189" spans="1:13" ht="15.75" customHeight="1">
      <c r="A189" s="612" t="s">
        <v>191</v>
      </c>
      <c r="B189" s="613" t="s">
        <v>992</v>
      </c>
      <c r="C189" s="613" t="s">
        <v>993</v>
      </c>
      <c r="D189" s="387">
        <v>389000</v>
      </c>
      <c r="E189" s="387">
        <v>0</v>
      </c>
      <c r="F189" s="387">
        <v>0</v>
      </c>
      <c r="G189" s="387">
        <v>0</v>
      </c>
      <c r="H189" s="387">
        <v>0</v>
      </c>
      <c r="I189" s="387">
        <v>0</v>
      </c>
      <c r="J189" s="387">
        <v>389000</v>
      </c>
    </row>
    <row r="190" spans="1:13" ht="15.75" customHeight="1">
      <c r="A190" s="612" t="s">
        <v>191</v>
      </c>
      <c r="B190" s="613" t="s">
        <v>412</v>
      </c>
      <c r="C190" s="613" t="s">
        <v>413</v>
      </c>
      <c r="D190" s="387">
        <v>389000</v>
      </c>
      <c r="E190" s="387">
        <v>0</v>
      </c>
      <c r="F190" s="387">
        <v>0</v>
      </c>
      <c r="G190" s="387">
        <v>0</v>
      </c>
      <c r="H190" s="387">
        <v>0</v>
      </c>
      <c r="I190" s="387">
        <v>0</v>
      </c>
      <c r="J190" s="387">
        <v>389000</v>
      </c>
    </row>
    <row r="191" spans="1:13" ht="15.75" customHeight="1">
      <c r="A191" s="612" t="s">
        <v>191</v>
      </c>
      <c r="B191" s="613" t="s">
        <v>411</v>
      </c>
      <c r="C191" s="613" t="s">
        <v>720</v>
      </c>
      <c r="D191" s="387">
        <v>361000</v>
      </c>
      <c r="E191" s="387">
        <v>0</v>
      </c>
      <c r="F191" s="387">
        <v>0</v>
      </c>
      <c r="G191" s="387">
        <v>0</v>
      </c>
      <c r="H191" s="387">
        <v>11800</v>
      </c>
      <c r="I191" s="387">
        <v>0</v>
      </c>
      <c r="J191" s="387">
        <v>372800</v>
      </c>
    </row>
    <row r="192" spans="1:13" ht="15.75" customHeight="1">
      <c r="A192" s="612" t="s">
        <v>191</v>
      </c>
      <c r="B192" s="613" t="s">
        <v>994</v>
      </c>
      <c r="C192" s="613" t="s">
        <v>995</v>
      </c>
      <c r="D192" s="387">
        <v>370000</v>
      </c>
      <c r="E192" s="387">
        <v>0</v>
      </c>
      <c r="F192" s="387">
        <v>0</v>
      </c>
      <c r="G192" s="387">
        <v>0</v>
      </c>
      <c r="H192" s="387">
        <v>0</v>
      </c>
      <c r="I192" s="387">
        <v>0</v>
      </c>
      <c r="J192" s="387">
        <v>370000</v>
      </c>
    </row>
    <row r="193" spans="1:10" ht="15.75" customHeight="1">
      <c r="A193" s="612" t="s">
        <v>191</v>
      </c>
      <c r="B193" s="613" t="s">
        <v>996</v>
      </c>
      <c r="C193" s="613" t="s">
        <v>997</v>
      </c>
      <c r="D193" s="387">
        <v>370000</v>
      </c>
      <c r="E193" s="387">
        <v>0</v>
      </c>
      <c r="F193" s="387">
        <v>0</v>
      </c>
      <c r="G193" s="387">
        <v>0</v>
      </c>
      <c r="H193" s="387">
        <v>0</v>
      </c>
      <c r="I193" s="387">
        <v>0</v>
      </c>
      <c r="J193" s="387">
        <v>370000</v>
      </c>
    </row>
    <row r="194" spans="1:10" ht="15.75" customHeight="1">
      <c r="A194" s="612" t="s">
        <v>191</v>
      </c>
      <c r="B194" s="613" t="s">
        <v>998</v>
      </c>
      <c r="C194" s="613" t="s">
        <v>999</v>
      </c>
      <c r="D194" s="387">
        <v>351000</v>
      </c>
      <c r="E194" s="387">
        <v>0</v>
      </c>
      <c r="F194" s="387">
        <v>0</v>
      </c>
      <c r="G194" s="387">
        <v>0</v>
      </c>
      <c r="H194" s="387">
        <v>0</v>
      </c>
      <c r="I194" s="387">
        <v>0</v>
      </c>
      <c r="J194" s="387">
        <v>351000</v>
      </c>
    </row>
    <row r="195" spans="1:10" ht="15.75" customHeight="1">
      <c r="A195" s="612" t="s">
        <v>191</v>
      </c>
      <c r="B195" s="613" t="s">
        <v>418</v>
      </c>
      <c r="C195" s="613" t="s">
        <v>419</v>
      </c>
      <c r="D195" s="387">
        <v>341900</v>
      </c>
      <c r="E195" s="387">
        <v>0</v>
      </c>
      <c r="F195" s="387">
        <v>0</v>
      </c>
      <c r="G195" s="387">
        <v>0</v>
      </c>
      <c r="H195" s="387">
        <v>3700</v>
      </c>
      <c r="I195" s="387">
        <v>0</v>
      </c>
      <c r="J195" s="387">
        <v>345600</v>
      </c>
    </row>
    <row r="196" spans="1:10" ht="15.75" customHeight="1">
      <c r="A196" s="612" t="s">
        <v>191</v>
      </c>
      <c r="B196" s="613" t="s">
        <v>1000</v>
      </c>
      <c r="C196" s="613" t="s">
        <v>1001</v>
      </c>
      <c r="D196" s="387">
        <v>342000</v>
      </c>
      <c r="E196" s="387">
        <v>0</v>
      </c>
      <c r="F196" s="387">
        <v>0</v>
      </c>
      <c r="G196" s="387">
        <v>0</v>
      </c>
      <c r="H196" s="387">
        <v>0</v>
      </c>
      <c r="I196" s="387">
        <v>0</v>
      </c>
      <c r="J196" s="387">
        <v>342000</v>
      </c>
    </row>
    <row r="197" spans="1:10" ht="15.75" customHeight="1">
      <c r="A197" s="612" t="s">
        <v>191</v>
      </c>
      <c r="B197" s="613" t="s">
        <v>1002</v>
      </c>
      <c r="C197" s="613" t="s">
        <v>1003</v>
      </c>
      <c r="D197" s="387">
        <v>342000</v>
      </c>
      <c r="E197" s="387">
        <v>0</v>
      </c>
      <c r="F197" s="387">
        <v>0</v>
      </c>
      <c r="G197" s="387">
        <v>0</v>
      </c>
      <c r="H197" s="387">
        <v>0</v>
      </c>
      <c r="I197" s="387">
        <v>0</v>
      </c>
      <c r="J197" s="387">
        <v>342000</v>
      </c>
    </row>
    <row r="198" spans="1:10" ht="15.75" customHeight="1">
      <c r="A198" s="612" t="s">
        <v>191</v>
      </c>
      <c r="B198" s="613" t="s">
        <v>1004</v>
      </c>
      <c r="C198" s="613" t="s">
        <v>1005</v>
      </c>
      <c r="D198" s="387">
        <v>304000</v>
      </c>
      <c r="E198" s="387">
        <v>0</v>
      </c>
      <c r="F198" s="387">
        <v>0</v>
      </c>
      <c r="G198" s="387">
        <v>0</v>
      </c>
      <c r="H198" s="387">
        <v>0</v>
      </c>
      <c r="I198" s="387">
        <v>0</v>
      </c>
      <c r="J198" s="387">
        <v>304000</v>
      </c>
    </row>
    <row r="199" spans="1:10" ht="15.75" customHeight="1">
      <c r="A199" s="612" t="s">
        <v>191</v>
      </c>
      <c r="B199" s="613" t="s">
        <v>647</v>
      </c>
      <c r="C199" s="613" t="s">
        <v>646</v>
      </c>
      <c r="D199" s="387">
        <v>278700</v>
      </c>
      <c r="E199" s="387">
        <v>0</v>
      </c>
      <c r="F199" s="387">
        <v>0</v>
      </c>
      <c r="G199" s="387">
        <v>0</v>
      </c>
      <c r="H199" s="387">
        <v>0</v>
      </c>
      <c r="I199" s="387">
        <v>0</v>
      </c>
      <c r="J199" s="387">
        <v>278700</v>
      </c>
    </row>
    <row r="200" spans="1:10" ht="15.75" customHeight="1">
      <c r="A200" s="612" t="s">
        <v>191</v>
      </c>
      <c r="B200" s="613" t="s">
        <v>423</v>
      </c>
      <c r="C200" s="613" t="s">
        <v>424</v>
      </c>
      <c r="D200" s="387">
        <v>275000</v>
      </c>
      <c r="E200" s="387">
        <v>0</v>
      </c>
      <c r="F200" s="387">
        <v>0</v>
      </c>
      <c r="G200" s="387">
        <v>0</v>
      </c>
      <c r="H200" s="387">
        <v>0</v>
      </c>
      <c r="I200" s="387">
        <v>0</v>
      </c>
      <c r="J200" s="387">
        <v>275000</v>
      </c>
    </row>
    <row r="201" spans="1:10" ht="15.75" customHeight="1">
      <c r="A201" s="612" t="s">
        <v>191</v>
      </c>
      <c r="B201" s="613" t="s">
        <v>1006</v>
      </c>
      <c r="C201" s="613" t="s">
        <v>1007</v>
      </c>
      <c r="D201" s="387">
        <v>275000</v>
      </c>
      <c r="E201" s="387">
        <v>0</v>
      </c>
      <c r="F201" s="387">
        <v>0</v>
      </c>
      <c r="G201" s="387">
        <v>0</v>
      </c>
      <c r="H201" s="387">
        <v>0</v>
      </c>
      <c r="I201" s="387">
        <v>0</v>
      </c>
      <c r="J201" s="387">
        <v>275000</v>
      </c>
    </row>
    <row r="202" spans="1:10" ht="15.75" customHeight="1">
      <c r="A202" s="612" t="s">
        <v>191</v>
      </c>
      <c r="B202" s="613" t="s">
        <v>1008</v>
      </c>
      <c r="C202" s="613" t="s">
        <v>1009</v>
      </c>
      <c r="D202" s="387">
        <v>275000</v>
      </c>
      <c r="E202" s="387">
        <v>0</v>
      </c>
      <c r="F202" s="387">
        <v>0</v>
      </c>
      <c r="G202" s="387">
        <v>0</v>
      </c>
      <c r="H202" s="387">
        <v>0</v>
      </c>
      <c r="I202" s="387">
        <v>0</v>
      </c>
      <c r="J202" s="387">
        <v>275000</v>
      </c>
    </row>
    <row r="203" spans="1:10" ht="15.75" customHeight="1">
      <c r="A203" s="612" t="s">
        <v>191</v>
      </c>
      <c r="B203" s="613" t="s">
        <v>427</v>
      </c>
      <c r="C203" s="613" t="s">
        <v>428</v>
      </c>
      <c r="D203" s="387">
        <v>243000</v>
      </c>
      <c r="E203" s="387">
        <v>0</v>
      </c>
      <c r="F203" s="387">
        <v>0</v>
      </c>
      <c r="G203" s="387">
        <v>0</v>
      </c>
      <c r="H203" s="387">
        <v>0</v>
      </c>
      <c r="I203" s="387">
        <v>0</v>
      </c>
      <c r="J203" s="387">
        <v>243000</v>
      </c>
    </row>
    <row r="204" spans="1:10" ht="15.75" customHeight="1">
      <c r="A204" s="612" t="s">
        <v>191</v>
      </c>
      <c r="B204" s="613" t="s">
        <v>407</v>
      </c>
      <c r="C204" s="613" t="s">
        <v>408</v>
      </c>
      <c r="D204" s="387">
        <v>175000</v>
      </c>
      <c r="E204" s="387">
        <v>0</v>
      </c>
      <c r="F204" s="387">
        <v>0</v>
      </c>
      <c r="G204" s="387">
        <v>0</v>
      </c>
      <c r="H204" s="387">
        <v>3600</v>
      </c>
      <c r="I204" s="387">
        <v>0</v>
      </c>
      <c r="J204" s="387">
        <v>178600</v>
      </c>
    </row>
    <row r="205" spans="1:10" ht="15.75" customHeight="1">
      <c r="A205" s="612" t="s">
        <v>191</v>
      </c>
      <c r="B205" s="613" t="s">
        <v>505</v>
      </c>
      <c r="C205" s="613" t="s">
        <v>504</v>
      </c>
      <c r="D205" s="387">
        <v>148750</v>
      </c>
      <c r="E205" s="387">
        <v>0</v>
      </c>
      <c r="F205" s="387">
        <v>0</v>
      </c>
      <c r="G205" s="387">
        <v>0</v>
      </c>
      <c r="H205" s="387">
        <v>5500</v>
      </c>
      <c r="I205" s="387">
        <v>0</v>
      </c>
      <c r="J205" s="387">
        <v>154250</v>
      </c>
    </row>
    <row r="206" spans="1:10" ht="15.75" customHeight="1">
      <c r="A206" s="612" t="s">
        <v>191</v>
      </c>
      <c r="B206" s="613" t="s">
        <v>1010</v>
      </c>
      <c r="C206" s="613" t="s">
        <v>1011</v>
      </c>
      <c r="D206" s="387">
        <v>144000</v>
      </c>
      <c r="E206" s="387">
        <v>0</v>
      </c>
      <c r="F206" s="387">
        <v>0</v>
      </c>
      <c r="G206" s="387">
        <v>0</v>
      </c>
      <c r="H206" s="387">
        <v>0</v>
      </c>
      <c r="I206" s="387">
        <v>0</v>
      </c>
      <c r="J206" s="387">
        <v>144000</v>
      </c>
    </row>
    <row r="207" spans="1:10" ht="15.75" customHeight="1">
      <c r="A207" s="612" t="s">
        <v>191</v>
      </c>
      <c r="B207" s="613" t="s">
        <v>425</v>
      </c>
      <c r="C207" s="613" t="s">
        <v>426</v>
      </c>
      <c r="D207" s="387">
        <v>48650</v>
      </c>
      <c r="E207" s="387">
        <v>0</v>
      </c>
      <c r="F207" s="387">
        <v>0</v>
      </c>
      <c r="G207" s="387">
        <v>0</v>
      </c>
      <c r="H207" s="387">
        <v>0</v>
      </c>
      <c r="I207" s="387">
        <v>0</v>
      </c>
      <c r="J207" s="387">
        <v>48650</v>
      </c>
    </row>
    <row r="208" spans="1:10" ht="15.75" customHeight="1">
      <c r="A208" s="612" t="s">
        <v>191</v>
      </c>
      <c r="B208" s="613" t="s">
        <v>1012</v>
      </c>
      <c r="C208" s="613" t="s">
        <v>1013</v>
      </c>
      <c r="D208" s="387">
        <v>0</v>
      </c>
      <c r="E208" s="387">
        <v>0</v>
      </c>
      <c r="F208" s="387">
        <v>0</v>
      </c>
      <c r="G208" s="387">
        <v>28000</v>
      </c>
      <c r="H208" s="387">
        <v>0</v>
      </c>
      <c r="I208" s="387">
        <v>0</v>
      </c>
      <c r="J208" s="387">
        <v>28000</v>
      </c>
    </row>
    <row r="209" spans="1:10" ht="15.75" customHeight="1">
      <c r="A209" s="612" t="s">
        <v>191</v>
      </c>
      <c r="B209" s="613" t="s">
        <v>641</v>
      </c>
      <c r="C209" s="613" t="s">
        <v>640</v>
      </c>
      <c r="D209" s="387">
        <v>18000</v>
      </c>
      <c r="E209" s="387">
        <v>0</v>
      </c>
      <c r="F209" s="387">
        <v>0</v>
      </c>
      <c r="G209" s="387">
        <v>0</v>
      </c>
      <c r="H209" s="387">
        <v>900</v>
      </c>
      <c r="I209" s="387">
        <v>0</v>
      </c>
      <c r="J209" s="387">
        <v>18900</v>
      </c>
    </row>
    <row r="210" spans="1:10" ht="15.75" customHeight="1">
      <c r="A210" s="612" t="s">
        <v>191</v>
      </c>
      <c r="B210" s="613" t="s">
        <v>469</v>
      </c>
      <c r="C210" s="613" t="s">
        <v>468</v>
      </c>
      <c r="D210" s="387">
        <v>15000</v>
      </c>
      <c r="E210" s="387">
        <v>0</v>
      </c>
      <c r="F210" s="387">
        <v>0</v>
      </c>
      <c r="G210" s="387">
        <v>0</v>
      </c>
      <c r="H210" s="387">
        <v>900</v>
      </c>
      <c r="I210" s="387">
        <v>0</v>
      </c>
      <c r="J210" s="387">
        <v>15900</v>
      </c>
    </row>
    <row r="211" spans="1:10" ht="15.75" customHeight="1">
      <c r="A211" s="636"/>
      <c r="B211" s="636"/>
      <c r="C211" s="386" t="s">
        <v>433</v>
      </c>
      <c r="D211" s="810">
        <f>SUM(D165:D210)</f>
        <v>80563304</v>
      </c>
      <c r="E211" s="810">
        <f t="shared" ref="E211:J211" si="6">SUM(E165:E210)</f>
        <v>2468550</v>
      </c>
      <c r="F211" s="810">
        <f t="shared" si="6"/>
        <v>928600</v>
      </c>
      <c r="G211" s="810">
        <f t="shared" si="6"/>
        <v>1215000</v>
      </c>
      <c r="H211" s="810">
        <f t="shared" si="6"/>
        <v>20063500</v>
      </c>
      <c r="I211" s="810">
        <f t="shared" si="6"/>
        <v>93500</v>
      </c>
      <c r="J211" s="810">
        <f t="shared" si="6"/>
        <v>105332454</v>
      </c>
    </row>
    <row r="232" spans="1:12" ht="15.75" customHeight="1">
      <c r="A232" s="636"/>
      <c r="B232" s="637"/>
      <c r="C232" s="861" t="s">
        <v>461</v>
      </c>
      <c r="D232" s="861"/>
      <c r="E232" s="861"/>
      <c r="F232" s="604"/>
      <c r="G232" s="604"/>
      <c r="H232" s="604"/>
      <c r="I232" s="604"/>
      <c r="J232" s="604"/>
      <c r="K232" s="604"/>
    </row>
    <row r="233" spans="1:12" ht="15.75" customHeight="1">
      <c r="A233" s="636"/>
      <c r="B233" s="637"/>
      <c r="C233" s="861" t="s">
        <v>705</v>
      </c>
      <c r="D233" s="861"/>
      <c r="E233" s="861"/>
      <c r="F233" s="604"/>
      <c r="G233" s="604"/>
      <c r="H233" s="604"/>
      <c r="I233" s="604"/>
      <c r="J233" s="604"/>
      <c r="K233" s="604"/>
    </row>
    <row r="234" spans="1:12" ht="15.75" customHeight="1">
      <c r="A234" s="636"/>
      <c r="B234" s="637"/>
      <c r="C234" s="861" t="s">
        <v>792</v>
      </c>
      <c r="D234" s="861"/>
      <c r="E234" s="861"/>
      <c r="F234" s="604"/>
      <c r="G234" s="604"/>
      <c r="H234" s="604"/>
      <c r="I234" s="604"/>
      <c r="J234" s="604"/>
      <c r="K234" s="604"/>
    </row>
    <row r="235" spans="1:12" ht="15.75" customHeight="1">
      <c r="A235" s="636"/>
      <c r="B235" s="637"/>
      <c r="C235" s="634" t="s">
        <v>707</v>
      </c>
      <c r="D235" s="634" t="s">
        <v>708</v>
      </c>
      <c r="E235" s="634"/>
      <c r="F235" s="604"/>
      <c r="G235" s="604"/>
      <c r="H235" s="604"/>
      <c r="I235" s="604"/>
      <c r="J235" s="604"/>
      <c r="K235" s="604"/>
    </row>
    <row r="236" spans="1:12" ht="15.75" customHeight="1">
      <c r="A236" s="638" t="s">
        <v>191</v>
      </c>
      <c r="B236" s="637"/>
      <c r="C236" s="637"/>
      <c r="D236" s="604"/>
      <c r="E236" s="604"/>
      <c r="F236" s="604"/>
      <c r="G236" s="604"/>
      <c r="H236" s="604"/>
      <c r="I236" s="604"/>
      <c r="J236" s="604"/>
      <c r="K236" s="604"/>
    </row>
    <row r="237" spans="1:12" ht="15.75" customHeight="1">
      <c r="A237" s="607"/>
      <c r="B237" s="607"/>
      <c r="C237" s="607"/>
      <c r="D237" s="594"/>
      <c r="E237" s="594"/>
      <c r="F237" s="594"/>
      <c r="G237" s="594"/>
      <c r="H237" s="594"/>
      <c r="I237" s="594"/>
      <c r="J237" s="608"/>
      <c r="K237" s="608"/>
    </row>
    <row r="238" spans="1:12" ht="29.25" customHeight="1">
      <c r="A238" s="640" t="s">
        <v>763</v>
      </c>
      <c r="B238" s="641" t="s">
        <v>764</v>
      </c>
      <c r="C238" s="641" t="s">
        <v>765</v>
      </c>
      <c r="D238" s="642" t="s">
        <v>766</v>
      </c>
      <c r="E238" s="642" t="s">
        <v>767</v>
      </c>
      <c r="F238" s="642" t="s">
        <v>768</v>
      </c>
      <c r="G238" s="642" t="s">
        <v>769</v>
      </c>
      <c r="H238" s="642" t="s">
        <v>770</v>
      </c>
      <c r="I238" s="643" t="s">
        <v>771</v>
      </c>
      <c r="J238" s="643" t="s">
        <v>710</v>
      </c>
    </row>
    <row r="239" spans="1:12" ht="15.75" customHeight="1">
      <c r="A239" s="612" t="s">
        <v>384</v>
      </c>
      <c r="B239" s="613" t="s">
        <v>383</v>
      </c>
      <c r="C239" s="613" t="s">
        <v>385</v>
      </c>
      <c r="D239" s="387">
        <v>15407000</v>
      </c>
      <c r="E239" s="387">
        <v>1125000</v>
      </c>
      <c r="F239" s="387">
        <v>299050</v>
      </c>
      <c r="G239" s="387">
        <v>632000</v>
      </c>
      <c r="H239" s="387">
        <f>10487000+379900</f>
        <v>10866900</v>
      </c>
      <c r="I239" s="387">
        <v>21100</v>
      </c>
      <c r="J239" s="387">
        <v>28351050</v>
      </c>
      <c r="L239" s="644">
        <v>1</v>
      </c>
    </row>
    <row r="240" spans="1:12" ht="15.75" customHeight="1">
      <c r="A240" s="612" t="s">
        <v>384</v>
      </c>
      <c r="B240" s="613" t="s">
        <v>388</v>
      </c>
      <c r="C240" s="613" t="s">
        <v>389</v>
      </c>
      <c r="D240" s="387">
        <v>11588000</v>
      </c>
      <c r="E240" s="387">
        <v>945000</v>
      </c>
      <c r="F240" s="387">
        <v>300050</v>
      </c>
      <c r="G240" s="387">
        <v>0</v>
      </c>
      <c r="H240" s="387">
        <f>4662500+301600</f>
        <v>4964100</v>
      </c>
      <c r="I240" s="387">
        <v>64500</v>
      </c>
      <c r="J240" s="387">
        <v>17861650</v>
      </c>
      <c r="K240" s="551">
        <f>+J240+J239</f>
        <v>46212700</v>
      </c>
      <c r="L240" s="644">
        <f>+L239+1</f>
        <v>2</v>
      </c>
    </row>
    <row r="241" spans="1:13" ht="15.75" customHeight="1">
      <c r="A241" s="612" t="s">
        <v>384</v>
      </c>
      <c r="B241" s="613" t="s">
        <v>392</v>
      </c>
      <c r="C241" s="613" t="s">
        <v>393</v>
      </c>
      <c r="D241" s="387">
        <v>6510000</v>
      </c>
      <c r="E241" s="387">
        <v>398550</v>
      </c>
      <c r="F241" s="387">
        <v>101000</v>
      </c>
      <c r="G241" s="387">
        <v>28000</v>
      </c>
      <c r="H241" s="387">
        <f>1022000+127200</f>
        <v>1149200</v>
      </c>
      <c r="I241" s="387">
        <v>0</v>
      </c>
      <c r="J241" s="387">
        <v>8186750</v>
      </c>
      <c r="L241" s="644">
        <f t="shared" ref="L241:L250" si="7">+L240+1</f>
        <v>3</v>
      </c>
    </row>
    <row r="242" spans="1:13" ht="15.75" customHeight="1">
      <c r="A242" s="612" t="s">
        <v>384</v>
      </c>
      <c r="B242" s="613" t="s">
        <v>390</v>
      </c>
      <c r="C242" s="613" t="s">
        <v>391</v>
      </c>
      <c r="D242" s="387">
        <v>5929376</v>
      </c>
      <c r="E242" s="387">
        <v>0</v>
      </c>
      <c r="F242" s="387">
        <v>0</v>
      </c>
      <c r="G242" s="387">
        <v>0</v>
      </c>
      <c r="H242" s="387">
        <v>235600</v>
      </c>
      <c r="I242" s="387">
        <v>0</v>
      </c>
      <c r="J242" s="387">
        <v>6164976</v>
      </c>
      <c r="L242" s="644">
        <f t="shared" si="7"/>
        <v>4</v>
      </c>
    </row>
    <row r="243" spans="1:13" ht="15.75" customHeight="1">
      <c r="A243" s="612" t="s">
        <v>384</v>
      </c>
      <c r="B243" s="613" t="s">
        <v>394</v>
      </c>
      <c r="C243" s="613" t="s">
        <v>395</v>
      </c>
      <c r="D243" s="387">
        <v>5012916</v>
      </c>
      <c r="E243" s="387">
        <v>0</v>
      </c>
      <c r="F243" s="387">
        <v>0</v>
      </c>
      <c r="G243" s="387">
        <v>0</v>
      </c>
      <c r="H243" s="387">
        <v>340500</v>
      </c>
      <c r="I243" s="387">
        <v>15900</v>
      </c>
      <c r="J243" s="387">
        <v>5369316</v>
      </c>
      <c r="L243" s="644">
        <f t="shared" si="7"/>
        <v>5</v>
      </c>
    </row>
    <row r="244" spans="1:13" ht="15.75" customHeight="1">
      <c r="A244" s="612" t="s">
        <v>384</v>
      </c>
      <c r="B244" s="613" t="s">
        <v>397</v>
      </c>
      <c r="C244" s="613" t="s">
        <v>398</v>
      </c>
      <c r="D244" s="387">
        <v>4208657</v>
      </c>
      <c r="E244" s="387">
        <v>0</v>
      </c>
      <c r="F244" s="387">
        <v>0</v>
      </c>
      <c r="G244" s="387">
        <v>0</v>
      </c>
      <c r="H244" s="387">
        <v>385200</v>
      </c>
      <c r="I244" s="387">
        <v>0</v>
      </c>
      <c r="J244" s="387">
        <v>4593857</v>
      </c>
      <c r="L244" s="644">
        <f t="shared" si="7"/>
        <v>6</v>
      </c>
    </row>
    <row r="245" spans="1:13" ht="15.75" customHeight="1">
      <c r="A245" s="612" t="s">
        <v>384</v>
      </c>
      <c r="B245" s="613" t="s">
        <v>399</v>
      </c>
      <c r="C245" s="613" t="s">
        <v>772</v>
      </c>
      <c r="D245" s="387">
        <v>3701000</v>
      </c>
      <c r="E245" s="387">
        <v>0</v>
      </c>
      <c r="F245" s="387">
        <v>82750</v>
      </c>
      <c r="G245" s="387">
        <v>28000</v>
      </c>
      <c r="H245" s="387">
        <v>386000</v>
      </c>
      <c r="I245" s="387">
        <v>0</v>
      </c>
      <c r="J245" s="387">
        <v>4197750</v>
      </c>
      <c r="L245" s="644">
        <f t="shared" si="7"/>
        <v>7</v>
      </c>
    </row>
    <row r="246" spans="1:13" ht="15.75" customHeight="1">
      <c r="A246" s="612" t="s">
        <v>191</v>
      </c>
      <c r="B246" s="613" t="s">
        <v>396</v>
      </c>
      <c r="C246" s="613" t="s">
        <v>486</v>
      </c>
      <c r="D246" s="387">
        <v>3786800</v>
      </c>
      <c r="E246" s="387">
        <v>0</v>
      </c>
      <c r="F246" s="387">
        <v>80750</v>
      </c>
      <c r="G246" s="387">
        <v>0</v>
      </c>
      <c r="H246" s="387">
        <v>0</v>
      </c>
      <c r="I246" s="387">
        <v>0</v>
      </c>
      <c r="J246" s="387">
        <v>3867550</v>
      </c>
      <c r="L246" s="644">
        <f t="shared" si="7"/>
        <v>8</v>
      </c>
    </row>
    <row r="247" spans="1:13" ht="15.75" customHeight="1">
      <c r="A247" s="612" t="s">
        <v>384</v>
      </c>
      <c r="B247" s="613" t="s">
        <v>405</v>
      </c>
      <c r="C247" s="613" t="s">
        <v>406</v>
      </c>
      <c r="D247" s="387">
        <v>3400249</v>
      </c>
      <c r="E247" s="387">
        <v>0</v>
      </c>
      <c r="F247" s="387">
        <v>0</v>
      </c>
      <c r="G247" s="387">
        <v>0</v>
      </c>
      <c r="H247" s="387">
        <v>117900</v>
      </c>
      <c r="I247" s="387">
        <v>0</v>
      </c>
      <c r="J247" s="387">
        <v>3518149</v>
      </c>
      <c r="L247" s="644">
        <f t="shared" si="7"/>
        <v>9</v>
      </c>
    </row>
    <row r="248" spans="1:13" ht="15.75" customHeight="1">
      <c r="A248" s="612" t="s">
        <v>384</v>
      </c>
      <c r="B248" s="613" t="s">
        <v>401</v>
      </c>
      <c r="C248" s="613" t="s">
        <v>402</v>
      </c>
      <c r="D248" s="387">
        <v>2432740</v>
      </c>
      <c r="E248" s="387">
        <v>0</v>
      </c>
      <c r="F248" s="387">
        <v>65000</v>
      </c>
      <c r="G248" s="387">
        <v>56000</v>
      </c>
      <c r="H248" s="387">
        <v>170100</v>
      </c>
      <c r="I248" s="387">
        <v>0</v>
      </c>
      <c r="J248" s="387">
        <v>2723840</v>
      </c>
      <c r="L248" s="644">
        <f t="shared" si="7"/>
        <v>10</v>
      </c>
    </row>
    <row r="249" spans="1:13" ht="15.75" customHeight="1">
      <c r="A249" s="612" t="s">
        <v>191</v>
      </c>
      <c r="B249" s="613" t="s">
        <v>409</v>
      </c>
      <c r="C249" s="613" t="s">
        <v>410</v>
      </c>
      <c r="D249" s="387">
        <v>1127800</v>
      </c>
      <c r="E249" s="387">
        <v>0</v>
      </c>
      <c r="F249" s="387">
        <v>0</v>
      </c>
      <c r="G249" s="387">
        <v>0</v>
      </c>
      <c r="H249" s="387">
        <v>0</v>
      </c>
      <c r="I249" s="387">
        <v>0</v>
      </c>
      <c r="J249" s="387">
        <v>1127800</v>
      </c>
      <c r="L249" s="644">
        <f t="shared" si="7"/>
        <v>11</v>
      </c>
    </row>
    <row r="250" spans="1:13" ht="15.75" customHeight="1">
      <c r="A250" s="612" t="s">
        <v>191</v>
      </c>
      <c r="B250" s="613" t="s">
        <v>403</v>
      </c>
      <c r="C250" s="613" t="s">
        <v>404</v>
      </c>
      <c r="D250" s="387">
        <v>1029066</v>
      </c>
      <c r="E250" s="387">
        <v>0</v>
      </c>
      <c r="F250" s="387">
        <v>0</v>
      </c>
      <c r="G250" s="387">
        <v>0</v>
      </c>
      <c r="H250" s="387">
        <v>0</v>
      </c>
      <c r="I250" s="387">
        <v>0</v>
      </c>
      <c r="J250" s="387">
        <v>1029066</v>
      </c>
      <c r="K250" s="551">
        <f>SUM(J239:J250)</f>
        <v>86991754</v>
      </c>
      <c r="L250" s="644">
        <f t="shared" si="7"/>
        <v>12</v>
      </c>
    </row>
    <row r="251" spans="1:13" ht="15.75" customHeight="1">
      <c r="A251" s="612" t="s">
        <v>191</v>
      </c>
      <c r="B251" s="613" t="s">
        <v>639</v>
      </c>
      <c r="C251" s="613" t="s">
        <v>638</v>
      </c>
      <c r="D251" s="387">
        <v>826000</v>
      </c>
      <c r="E251" s="387">
        <v>0</v>
      </c>
      <c r="F251" s="387">
        <v>0</v>
      </c>
      <c r="G251" s="387">
        <v>0</v>
      </c>
      <c r="H251" s="387">
        <v>9000</v>
      </c>
      <c r="I251" s="387">
        <v>0</v>
      </c>
      <c r="J251" s="387">
        <v>835000</v>
      </c>
      <c r="K251" s="809">
        <f>+K250/J283</f>
        <v>0.91430855524776988</v>
      </c>
      <c r="L251" s="644">
        <v>1</v>
      </c>
      <c r="M251" s="644">
        <f>SUM(J251:J282)</f>
        <v>8153100</v>
      </c>
    </row>
    <row r="252" spans="1:13" ht="15.75" customHeight="1">
      <c r="A252" s="612" t="s">
        <v>191</v>
      </c>
      <c r="B252" s="613" t="s">
        <v>416</v>
      </c>
      <c r="C252" s="613" t="s">
        <v>417</v>
      </c>
      <c r="D252" s="387">
        <v>762000</v>
      </c>
      <c r="E252" s="387">
        <v>0</v>
      </c>
      <c r="F252" s="387">
        <v>0</v>
      </c>
      <c r="G252" s="387">
        <v>0</v>
      </c>
      <c r="H252" s="387">
        <v>7300</v>
      </c>
      <c r="I252" s="387">
        <v>0</v>
      </c>
      <c r="J252" s="387">
        <v>769300</v>
      </c>
      <c r="L252" s="644">
        <f>+L251+1</f>
        <v>2</v>
      </c>
    </row>
    <row r="253" spans="1:13" ht="15.75" customHeight="1">
      <c r="A253" s="612" t="s">
        <v>191</v>
      </c>
      <c r="B253" s="613" t="s">
        <v>411</v>
      </c>
      <c r="C253" s="613" t="s">
        <v>720</v>
      </c>
      <c r="D253" s="387">
        <v>724000</v>
      </c>
      <c r="E253" s="387">
        <v>0</v>
      </c>
      <c r="F253" s="387">
        <v>0</v>
      </c>
      <c r="G253" s="387">
        <v>0</v>
      </c>
      <c r="H253" s="387">
        <v>7700</v>
      </c>
      <c r="I253" s="387">
        <v>0</v>
      </c>
      <c r="J253" s="387">
        <v>731700</v>
      </c>
      <c r="L253" s="644">
        <f t="shared" ref="L253:L282" si="8">+L252+1</f>
        <v>3</v>
      </c>
    </row>
    <row r="254" spans="1:13" ht="15.75" customHeight="1">
      <c r="A254" s="612" t="s">
        <v>191</v>
      </c>
      <c r="B254" s="613" t="s">
        <v>523</v>
      </c>
      <c r="C254" s="613" t="s">
        <v>522</v>
      </c>
      <c r="D254" s="387">
        <v>660000</v>
      </c>
      <c r="E254" s="387">
        <v>0</v>
      </c>
      <c r="F254" s="387">
        <v>0</v>
      </c>
      <c r="G254" s="387">
        <v>0</v>
      </c>
      <c r="H254" s="387">
        <v>7600</v>
      </c>
      <c r="I254" s="387">
        <v>0</v>
      </c>
      <c r="J254" s="387">
        <v>667600</v>
      </c>
      <c r="L254" s="644">
        <f t="shared" si="8"/>
        <v>4</v>
      </c>
    </row>
    <row r="255" spans="1:13" ht="15.75" customHeight="1">
      <c r="A255" s="612" t="s">
        <v>191</v>
      </c>
      <c r="B255" s="613" t="s">
        <v>422</v>
      </c>
      <c r="C255" s="613" t="s">
        <v>524</v>
      </c>
      <c r="D255" s="387">
        <v>609000</v>
      </c>
      <c r="E255" s="387">
        <v>0</v>
      </c>
      <c r="F255" s="387">
        <v>0</v>
      </c>
      <c r="G255" s="387">
        <v>0</v>
      </c>
      <c r="H255" s="387">
        <v>6400</v>
      </c>
      <c r="I255" s="387">
        <v>0</v>
      </c>
      <c r="J255" s="387">
        <v>615400</v>
      </c>
      <c r="L255" s="644">
        <f t="shared" si="8"/>
        <v>5</v>
      </c>
    </row>
    <row r="256" spans="1:13" ht="15.75" customHeight="1">
      <c r="A256" s="612" t="s">
        <v>191</v>
      </c>
      <c r="B256" s="613" t="s">
        <v>414</v>
      </c>
      <c r="C256" s="613" t="s">
        <v>415</v>
      </c>
      <c r="D256" s="387">
        <v>595600</v>
      </c>
      <c r="E256" s="387">
        <v>0</v>
      </c>
      <c r="F256" s="387">
        <v>0</v>
      </c>
      <c r="G256" s="387">
        <v>0</v>
      </c>
      <c r="H256" s="387">
        <v>0</v>
      </c>
      <c r="I256" s="387">
        <v>0</v>
      </c>
      <c r="J256" s="387">
        <v>595600</v>
      </c>
      <c r="L256" s="644">
        <f t="shared" si="8"/>
        <v>6</v>
      </c>
    </row>
    <row r="257" spans="1:12" ht="15.75" customHeight="1">
      <c r="A257" s="612" t="s">
        <v>773</v>
      </c>
      <c r="B257" s="613" t="s">
        <v>521</v>
      </c>
      <c r="C257" s="613" t="s">
        <v>520</v>
      </c>
      <c r="D257" s="387">
        <v>323000</v>
      </c>
      <c r="E257" s="387">
        <v>0</v>
      </c>
      <c r="F257" s="387">
        <v>0</v>
      </c>
      <c r="G257" s="387">
        <v>192000</v>
      </c>
      <c r="H257" s="387">
        <v>0</v>
      </c>
      <c r="I257" s="387">
        <v>0</v>
      </c>
      <c r="J257" s="387">
        <v>515000</v>
      </c>
      <c r="L257" s="644">
        <f t="shared" si="8"/>
        <v>7</v>
      </c>
    </row>
    <row r="258" spans="1:12" ht="15.75" customHeight="1">
      <c r="A258" s="612" t="s">
        <v>191</v>
      </c>
      <c r="B258" s="613" t="s">
        <v>774</v>
      </c>
      <c r="C258" s="613" t="s">
        <v>775</v>
      </c>
      <c r="D258" s="387">
        <v>408000</v>
      </c>
      <c r="E258" s="387">
        <v>0</v>
      </c>
      <c r="F258" s="387">
        <v>0</v>
      </c>
      <c r="G258" s="387">
        <v>0</v>
      </c>
      <c r="H258" s="387">
        <v>0</v>
      </c>
      <c r="I258" s="387">
        <v>0</v>
      </c>
      <c r="J258" s="387">
        <v>408000</v>
      </c>
      <c r="L258" s="644">
        <f t="shared" si="8"/>
        <v>8</v>
      </c>
    </row>
    <row r="259" spans="1:12" ht="15.75" customHeight="1">
      <c r="A259" s="612" t="s">
        <v>191</v>
      </c>
      <c r="B259" s="613" t="s">
        <v>776</v>
      </c>
      <c r="C259" s="613" t="s">
        <v>777</v>
      </c>
      <c r="D259" s="387">
        <v>351000</v>
      </c>
      <c r="E259" s="387">
        <v>0</v>
      </c>
      <c r="F259" s="387">
        <v>0</v>
      </c>
      <c r="G259" s="387">
        <v>0</v>
      </c>
      <c r="H259" s="387">
        <v>0</v>
      </c>
      <c r="I259" s="387">
        <v>0</v>
      </c>
      <c r="J259" s="387">
        <v>351000</v>
      </c>
      <c r="L259" s="644">
        <f t="shared" si="8"/>
        <v>9</v>
      </c>
    </row>
    <row r="260" spans="1:12" ht="15.75" customHeight="1">
      <c r="A260" s="612" t="s">
        <v>191</v>
      </c>
      <c r="B260" s="613" t="s">
        <v>778</v>
      </c>
      <c r="C260" s="613" t="s">
        <v>779</v>
      </c>
      <c r="D260" s="387">
        <v>350200</v>
      </c>
      <c r="E260" s="387">
        <v>0</v>
      </c>
      <c r="F260" s="387">
        <v>0</v>
      </c>
      <c r="G260" s="387">
        <v>0</v>
      </c>
      <c r="H260" s="387">
        <v>0</v>
      </c>
      <c r="I260" s="387">
        <v>0</v>
      </c>
      <c r="J260" s="387">
        <v>350200</v>
      </c>
      <c r="L260" s="644">
        <f t="shared" si="8"/>
        <v>10</v>
      </c>
    </row>
    <row r="261" spans="1:12" ht="15.75" customHeight="1">
      <c r="A261" s="612" t="s">
        <v>191</v>
      </c>
      <c r="B261" s="613" t="s">
        <v>780</v>
      </c>
      <c r="C261" s="613" t="s">
        <v>781</v>
      </c>
      <c r="D261" s="387">
        <v>342000</v>
      </c>
      <c r="E261" s="387">
        <v>0</v>
      </c>
      <c r="F261" s="387">
        <v>0</v>
      </c>
      <c r="G261" s="387">
        <v>0</v>
      </c>
      <c r="H261" s="387">
        <v>0</v>
      </c>
      <c r="I261" s="387">
        <v>0</v>
      </c>
      <c r="J261" s="387">
        <v>342000</v>
      </c>
      <c r="L261" s="644">
        <f t="shared" si="8"/>
        <v>11</v>
      </c>
    </row>
    <row r="262" spans="1:12" ht="15.75" customHeight="1">
      <c r="A262" s="612" t="s">
        <v>191</v>
      </c>
      <c r="B262" s="613" t="s">
        <v>473</v>
      </c>
      <c r="C262" s="613" t="s">
        <v>472</v>
      </c>
      <c r="D262" s="387">
        <v>338200</v>
      </c>
      <c r="E262" s="387">
        <v>0</v>
      </c>
      <c r="F262" s="387">
        <v>0</v>
      </c>
      <c r="G262" s="387">
        <v>0</v>
      </c>
      <c r="H262" s="387">
        <v>0</v>
      </c>
      <c r="I262" s="387">
        <v>0</v>
      </c>
      <c r="J262" s="387">
        <v>338200</v>
      </c>
      <c r="L262" s="644">
        <f t="shared" si="8"/>
        <v>12</v>
      </c>
    </row>
    <row r="263" spans="1:12" ht="15.75" customHeight="1">
      <c r="A263" s="612" t="s">
        <v>191</v>
      </c>
      <c r="B263" s="613" t="s">
        <v>442</v>
      </c>
      <c r="C263" s="613" t="s">
        <v>673</v>
      </c>
      <c r="D263" s="387">
        <v>304000</v>
      </c>
      <c r="E263" s="387">
        <v>0</v>
      </c>
      <c r="F263" s="387">
        <v>0</v>
      </c>
      <c r="G263" s="387">
        <v>0</v>
      </c>
      <c r="H263" s="387">
        <v>6400</v>
      </c>
      <c r="I263" s="387">
        <v>0</v>
      </c>
      <c r="J263" s="387">
        <v>310400</v>
      </c>
      <c r="L263" s="644">
        <f t="shared" si="8"/>
        <v>13</v>
      </c>
    </row>
    <row r="264" spans="1:12" ht="15.75" customHeight="1">
      <c r="A264" s="612" t="s">
        <v>191</v>
      </c>
      <c r="B264" s="613" t="s">
        <v>782</v>
      </c>
      <c r="C264" s="613" t="s">
        <v>783</v>
      </c>
      <c r="D264" s="387">
        <v>285000</v>
      </c>
      <c r="E264" s="387">
        <v>0</v>
      </c>
      <c r="F264" s="387">
        <v>0</v>
      </c>
      <c r="G264" s="387">
        <v>0</v>
      </c>
      <c r="H264" s="387">
        <v>0</v>
      </c>
      <c r="I264" s="387">
        <v>0</v>
      </c>
      <c r="J264" s="387">
        <v>285000</v>
      </c>
      <c r="L264" s="644">
        <f t="shared" si="8"/>
        <v>14</v>
      </c>
    </row>
    <row r="265" spans="1:12" ht="15.75" customHeight="1">
      <c r="A265" s="612" t="s">
        <v>191</v>
      </c>
      <c r="B265" s="613" t="s">
        <v>407</v>
      </c>
      <c r="C265" s="613" t="s">
        <v>408</v>
      </c>
      <c r="D265" s="387">
        <v>173000</v>
      </c>
      <c r="E265" s="387">
        <v>0</v>
      </c>
      <c r="F265" s="387">
        <v>0</v>
      </c>
      <c r="G265" s="387">
        <v>0</v>
      </c>
      <c r="H265" s="387">
        <v>0</v>
      </c>
      <c r="I265" s="387">
        <v>0</v>
      </c>
      <c r="J265" s="387">
        <v>173000</v>
      </c>
      <c r="L265" s="644">
        <f t="shared" si="8"/>
        <v>15</v>
      </c>
    </row>
    <row r="266" spans="1:12" ht="15.75" customHeight="1">
      <c r="A266" s="612" t="s">
        <v>191</v>
      </c>
      <c r="B266" s="613" t="s">
        <v>505</v>
      </c>
      <c r="C266" s="613" t="s">
        <v>504</v>
      </c>
      <c r="D266" s="387">
        <v>148750</v>
      </c>
      <c r="E266" s="387">
        <v>0</v>
      </c>
      <c r="F266" s="387">
        <v>0</v>
      </c>
      <c r="G266" s="387">
        <v>0</v>
      </c>
      <c r="H266" s="387">
        <v>2400</v>
      </c>
      <c r="I266" s="387">
        <v>0</v>
      </c>
      <c r="J266" s="387">
        <v>151150</v>
      </c>
      <c r="L266" s="644">
        <f t="shared" si="8"/>
        <v>16</v>
      </c>
    </row>
    <row r="267" spans="1:12" ht="15.75" customHeight="1">
      <c r="A267" s="612" t="s">
        <v>191</v>
      </c>
      <c r="B267" s="613" t="s">
        <v>420</v>
      </c>
      <c r="C267" s="613" t="s">
        <v>421</v>
      </c>
      <c r="D267" s="387">
        <v>138300</v>
      </c>
      <c r="E267" s="387">
        <v>0</v>
      </c>
      <c r="F267" s="387">
        <v>0</v>
      </c>
      <c r="G267" s="387">
        <v>0</v>
      </c>
      <c r="H267" s="387">
        <v>0</v>
      </c>
      <c r="I267" s="387">
        <v>0</v>
      </c>
      <c r="J267" s="387">
        <v>138300</v>
      </c>
      <c r="L267" s="644">
        <f t="shared" si="8"/>
        <v>17</v>
      </c>
    </row>
    <row r="268" spans="1:12" ht="15.75" customHeight="1">
      <c r="A268" s="612" t="s">
        <v>191</v>
      </c>
      <c r="B268" s="613" t="s">
        <v>440</v>
      </c>
      <c r="C268" s="613" t="s">
        <v>510</v>
      </c>
      <c r="D268" s="387">
        <v>133250</v>
      </c>
      <c r="E268" s="387">
        <v>0</v>
      </c>
      <c r="F268" s="387">
        <v>0</v>
      </c>
      <c r="G268" s="387">
        <v>0</v>
      </c>
      <c r="H268" s="387">
        <v>0</v>
      </c>
      <c r="I268" s="387">
        <v>0</v>
      </c>
      <c r="J268" s="387">
        <v>133250</v>
      </c>
      <c r="L268" s="644">
        <f t="shared" si="8"/>
        <v>18</v>
      </c>
    </row>
    <row r="269" spans="1:12" ht="15.75" customHeight="1">
      <c r="A269" s="612" t="s">
        <v>191</v>
      </c>
      <c r="B269" s="613" t="s">
        <v>425</v>
      </c>
      <c r="C269" s="613" t="s">
        <v>426</v>
      </c>
      <c r="D269" s="387">
        <v>101650</v>
      </c>
      <c r="E269" s="387">
        <v>0</v>
      </c>
      <c r="F269" s="387">
        <v>0</v>
      </c>
      <c r="G269" s="387">
        <v>0</v>
      </c>
      <c r="H269" s="387">
        <v>0</v>
      </c>
      <c r="I269" s="387">
        <v>0</v>
      </c>
      <c r="J269" s="387">
        <v>101650</v>
      </c>
      <c r="L269" s="644">
        <f t="shared" si="8"/>
        <v>19</v>
      </c>
    </row>
    <row r="270" spans="1:12" ht="15.75" customHeight="1">
      <c r="A270" s="612" t="s">
        <v>191</v>
      </c>
      <c r="B270" s="613" t="s">
        <v>784</v>
      </c>
      <c r="C270" s="613" t="s">
        <v>785</v>
      </c>
      <c r="D270" s="387">
        <v>90000</v>
      </c>
      <c r="E270" s="387">
        <v>0</v>
      </c>
      <c r="F270" s="387">
        <v>0</v>
      </c>
      <c r="G270" s="387">
        <v>0</v>
      </c>
      <c r="H270" s="387">
        <v>0</v>
      </c>
      <c r="I270" s="387">
        <v>0</v>
      </c>
      <c r="J270" s="387">
        <v>90000</v>
      </c>
      <c r="L270" s="644">
        <f t="shared" si="8"/>
        <v>20</v>
      </c>
    </row>
    <row r="271" spans="1:12" ht="15.75" customHeight="1">
      <c r="A271" s="612" t="s">
        <v>191</v>
      </c>
      <c r="B271" s="613" t="s">
        <v>501</v>
      </c>
      <c r="C271" s="613" t="s">
        <v>500</v>
      </c>
      <c r="D271" s="387">
        <v>0</v>
      </c>
      <c r="E271" s="387">
        <v>0</v>
      </c>
      <c r="F271" s="387">
        <v>82750</v>
      </c>
      <c r="G271" s="387">
        <v>0</v>
      </c>
      <c r="H271" s="387">
        <v>0</v>
      </c>
      <c r="I271" s="387">
        <v>0</v>
      </c>
      <c r="J271" s="387">
        <v>82750</v>
      </c>
      <c r="L271" s="644">
        <f t="shared" si="8"/>
        <v>21</v>
      </c>
    </row>
    <row r="272" spans="1:12" ht="15.75" customHeight="1">
      <c r="A272" s="612" t="s">
        <v>191</v>
      </c>
      <c r="B272" s="613" t="s">
        <v>726</v>
      </c>
      <c r="C272" s="613" t="s">
        <v>786</v>
      </c>
      <c r="D272" s="387">
        <v>42000</v>
      </c>
      <c r="E272" s="387">
        <v>0</v>
      </c>
      <c r="F272" s="387">
        <v>0</v>
      </c>
      <c r="G272" s="387">
        <v>0</v>
      </c>
      <c r="H272" s="387">
        <v>900</v>
      </c>
      <c r="I272" s="387">
        <v>0</v>
      </c>
      <c r="J272" s="387">
        <v>42900</v>
      </c>
      <c r="L272" s="644">
        <f t="shared" si="8"/>
        <v>22</v>
      </c>
    </row>
    <row r="273" spans="1:12" ht="15.75" customHeight="1">
      <c r="A273" s="612" t="s">
        <v>191</v>
      </c>
      <c r="B273" s="613" t="s">
        <v>659</v>
      </c>
      <c r="C273" s="613" t="s">
        <v>658</v>
      </c>
      <c r="D273" s="387">
        <v>21000</v>
      </c>
      <c r="E273" s="387">
        <v>0</v>
      </c>
      <c r="F273" s="387">
        <v>0</v>
      </c>
      <c r="G273" s="387">
        <v>0</v>
      </c>
      <c r="H273" s="387">
        <v>1000</v>
      </c>
      <c r="I273" s="387">
        <v>0</v>
      </c>
      <c r="J273" s="387">
        <v>22000</v>
      </c>
      <c r="L273" s="644">
        <f t="shared" si="8"/>
        <v>23</v>
      </c>
    </row>
    <row r="274" spans="1:12" ht="15.75" customHeight="1">
      <c r="A274" s="612" t="s">
        <v>191</v>
      </c>
      <c r="B274" s="613" t="s">
        <v>729</v>
      </c>
      <c r="C274" s="613" t="s">
        <v>787</v>
      </c>
      <c r="D274" s="387">
        <v>20000</v>
      </c>
      <c r="E274" s="387">
        <v>0</v>
      </c>
      <c r="F274" s="387">
        <v>0</v>
      </c>
      <c r="G274" s="387">
        <v>0</v>
      </c>
      <c r="H274" s="387">
        <v>200</v>
      </c>
      <c r="I274" s="387">
        <v>0</v>
      </c>
      <c r="J274" s="387">
        <v>20200</v>
      </c>
      <c r="L274" s="644">
        <f t="shared" si="8"/>
        <v>24</v>
      </c>
    </row>
    <row r="275" spans="1:12" ht="15.75" customHeight="1">
      <c r="A275" s="612" t="s">
        <v>191</v>
      </c>
      <c r="B275" s="613" t="s">
        <v>519</v>
      </c>
      <c r="C275" s="613" t="s">
        <v>518</v>
      </c>
      <c r="D275" s="387">
        <v>20000</v>
      </c>
      <c r="E275" s="387">
        <v>0</v>
      </c>
      <c r="F275" s="387">
        <v>0</v>
      </c>
      <c r="G275" s="387">
        <v>0</v>
      </c>
      <c r="H275" s="387">
        <v>0</v>
      </c>
      <c r="I275" s="387">
        <v>0</v>
      </c>
      <c r="J275" s="387">
        <v>20000</v>
      </c>
      <c r="L275" s="644">
        <f t="shared" si="8"/>
        <v>25</v>
      </c>
    </row>
    <row r="276" spans="1:12" ht="15.75" customHeight="1">
      <c r="A276" s="612" t="s">
        <v>191</v>
      </c>
      <c r="B276" s="613" t="s">
        <v>641</v>
      </c>
      <c r="C276" s="613" t="s">
        <v>640</v>
      </c>
      <c r="D276" s="387">
        <v>19000</v>
      </c>
      <c r="E276" s="387">
        <v>0</v>
      </c>
      <c r="F276" s="387">
        <v>0</v>
      </c>
      <c r="G276" s="387">
        <v>0</v>
      </c>
      <c r="H276" s="387">
        <v>500</v>
      </c>
      <c r="I276" s="387">
        <v>0</v>
      </c>
      <c r="J276" s="387">
        <v>19500</v>
      </c>
      <c r="L276" s="644">
        <f t="shared" si="8"/>
        <v>26</v>
      </c>
    </row>
    <row r="277" spans="1:12" ht="15.75" customHeight="1">
      <c r="A277" s="612" t="s">
        <v>191</v>
      </c>
      <c r="B277" s="613" t="s">
        <v>788</v>
      </c>
      <c r="C277" s="613" t="s">
        <v>789</v>
      </c>
      <c r="D277" s="387">
        <v>18700</v>
      </c>
      <c r="E277" s="387">
        <v>0</v>
      </c>
      <c r="F277" s="387">
        <v>0</v>
      </c>
      <c r="G277" s="387">
        <v>0</v>
      </c>
      <c r="H277" s="387">
        <v>0</v>
      </c>
      <c r="I277" s="387">
        <v>0</v>
      </c>
      <c r="J277" s="387">
        <v>18700</v>
      </c>
      <c r="L277" s="644">
        <f t="shared" si="8"/>
        <v>27</v>
      </c>
    </row>
    <row r="278" spans="1:12" ht="15.75" customHeight="1">
      <c r="A278" s="612" t="s">
        <v>191</v>
      </c>
      <c r="B278" s="613" t="s">
        <v>469</v>
      </c>
      <c r="C278" s="613" t="s">
        <v>468</v>
      </c>
      <c r="D278" s="387">
        <v>15000</v>
      </c>
      <c r="E278" s="387">
        <v>0</v>
      </c>
      <c r="F278" s="387">
        <v>0</v>
      </c>
      <c r="G278" s="387">
        <v>0</v>
      </c>
      <c r="H278" s="387">
        <v>600</v>
      </c>
      <c r="I278" s="387">
        <v>0</v>
      </c>
      <c r="J278" s="387">
        <v>15600</v>
      </c>
      <c r="L278" s="644">
        <f t="shared" si="8"/>
        <v>28</v>
      </c>
    </row>
    <row r="279" spans="1:12" ht="15.75" customHeight="1">
      <c r="A279" s="612" t="s">
        <v>191</v>
      </c>
      <c r="B279" s="613" t="s">
        <v>790</v>
      </c>
      <c r="C279" s="613" t="s">
        <v>791</v>
      </c>
      <c r="D279" s="387">
        <v>2000</v>
      </c>
      <c r="E279" s="387">
        <v>0</v>
      </c>
      <c r="F279" s="387">
        <v>0</v>
      </c>
      <c r="G279" s="387">
        <v>0</v>
      </c>
      <c r="H279" s="387">
        <v>0</v>
      </c>
      <c r="I279" s="387">
        <v>0</v>
      </c>
      <c r="J279" s="387">
        <v>2000</v>
      </c>
      <c r="L279" s="644">
        <f t="shared" si="8"/>
        <v>29</v>
      </c>
    </row>
    <row r="280" spans="1:12" ht="15.75" customHeight="1">
      <c r="A280" s="612" t="s">
        <v>191</v>
      </c>
      <c r="B280" s="613" t="s">
        <v>625</v>
      </c>
      <c r="C280" s="613" t="s">
        <v>624</v>
      </c>
      <c r="D280" s="387">
        <v>2000</v>
      </c>
      <c r="E280" s="387">
        <v>0</v>
      </c>
      <c r="F280" s="387">
        <v>0</v>
      </c>
      <c r="G280" s="387">
        <v>0</v>
      </c>
      <c r="H280" s="387">
        <v>0</v>
      </c>
      <c r="I280" s="387">
        <v>0</v>
      </c>
      <c r="J280" s="387">
        <v>2000</v>
      </c>
      <c r="L280" s="644">
        <f t="shared" si="8"/>
        <v>30</v>
      </c>
    </row>
    <row r="281" spans="1:12" ht="15.75" customHeight="1">
      <c r="A281" s="612" t="s">
        <v>191</v>
      </c>
      <c r="B281" s="613" t="s">
        <v>731</v>
      </c>
      <c r="C281" s="613" t="s">
        <v>732</v>
      </c>
      <c r="D281" s="387">
        <v>2000</v>
      </c>
      <c r="E281" s="387">
        <v>0</v>
      </c>
      <c r="F281" s="387">
        <v>0</v>
      </c>
      <c r="G281" s="387">
        <v>0</v>
      </c>
      <c r="H281" s="387">
        <v>0</v>
      </c>
      <c r="I281" s="387">
        <v>0</v>
      </c>
      <c r="J281" s="387">
        <v>2000</v>
      </c>
      <c r="L281" s="644">
        <f t="shared" si="8"/>
        <v>31</v>
      </c>
    </row>
    <row r="282" spans="1:12" ht="15.75" customHeight="1">
      <c r="A282" s="612" t="s">
        <v>191</v>
      </c>
      <c r="B282" s="613" t="s">
        <v>418</v>
      </c>
      <c r="C282" s="613" t="s">
        <v>419</v>
      </c>
      <c r="D282" s="387">
        <v>0</v>
      </c>
      <c r="E282" s="387">
        <v>0</v>
      </c>
      <c r="F282" s="387">
        <v>0</v>
      </c>
      <c r="G282" s="387">
        <v>0</v>
      </c>
      <c r="H282" s="387">
        <v>3700</v>
      </c>
      <c r="I282" s="387">
        <v>0</v>
      </c>
      <c r="J282" s="387">
        <v>3700</v>
      </c>
      <c r="L282" s="644">
        <f t="shared" si="8"/>
        <v>32</v>
      </c>
    </row>
    <row r="283" spans="1:12" ht="15.75" customHeight="1">
      <c r="A283" s="612"/>
      <c r="B283" s="613"/>
      <c r="C283" s="386" t="s">
        <v>433</v>
      </c>
      <c r="D283" s="639">
        <f>SUM(D239:D282)</f>
        <v>71958254</v>
      </c>
      <c r="E283" s="639">
        <f t="shared" ref="E283:G283" si="9">SUM(E239:E282)</f>
        <v>2468550</v>
      </c>
      <c r="F283" s="639">
        <f t="shared" si="9"/>
        <v>1011350</v>
      </c>
      <c r="G283" s="639">
        <f t="shared" si="9"/>
        <v>936000</v>
      </c>
      <c r="H283" s="639">
        <f>SUM(H239:H282)</f>
        <v>18669200</v>
      </c>
      <c r="I283" s="639">
        <f>SUM(I239:I282)</f>
        <v>101500</v>
      </c>
      <c r="J283" s="639">
        <f>SUM(J239:J282)</f>
        <v>95144854</v>
      </c>
    </row>
    <row r="313" spans="1:10" ht="15.75" customHeight="1">
      <c r="A313"/>
      <c r="B313" s="602"/>
      <c r="C313" s="861" t="s">
        <v>461</v>
      </c>
      <c r="D313" s="861"/>
      <c r="E313" s="861"/>
      <c r="F313" s="603"/>
      <c r="G313" s="603"/>
      <c r="H313" s="603"/>
      <c r="I313" s="603"/>
      <c r="J313" s="604"/>
    </row>
    <row r="314" spans="1:10" ht="15.75" customHeight="1">
      <c r="A314" s="605"/>
      <c r="B314" s="602"/>
      <c r="C314" s="861" t="s">
        <v>705</v>
      </c>
      <c r="D314" s="861"/>
      <c r="E314" s="861"/>
      <c r="F314" s="603"/>
      <c r="G314" s="603"/>
      <c r="H314" s="603"/>
      <c r="I314" s="603"/>
      <c r="J314" s="604"/>
    </row>
    <row r="315" spans="1:10" ht="15.75" customHeight="1">
      <c r="A315" s="606" t="s">
        <v>191</v>
      </c>
      <c r="B315" s="602"/>
      <c r="C315" s="861" t="s">
        <v>706</v>
      </c>
      <c r="D315" s="861"/>
      <c r="E315" s="861"/>
      <c r="F315" s="603"/>
      <c r="G315" s="603"/>
      <c r="H315" s="603"/>
      <c r="I315" s="603"/>
      <c r="J315" s="604"/>
    </row>
    <row r="316" spans="1:10" ht="15.75" customHeight="1">
      <c r="A316" s="606"/>
      <c r="B316" s="602"/>
      <c r="C316" s="606" t="s">
        <v>707</v>
      </c>
      <c r="D316" s="606" t="s">
        <v>708</v>
      </c>
      <c r="E316" s="606"/>
      <c r="F316" s="603"/>
      <c r="G316" s="603"/>
      <c r="H316" s="603"/>
      <c r="I316" s="603"/>
      <c r="J316" s="604"/>
    </row>
    <row r="317" spans="1:10" ht="15.75" customHeight="1">
      <c r="A317" s="607"/>
      <c r="B317" s="607"/>
      <c r="C317" s="607"/>
      <c r="D317" s="594"/>
      <c r="E317" s="594"/>
      <c r="F317" s="594"/>
      <c r="G317" s="594"/>
      <c r="H317" s="594"/>
      <c r="I317" s="608"/>
      <c r="J317" s="608"/>
    </row>
    <row r="318" spans="1:10" ht="34.5" customHeight="1">
      <c r="A318" s="609" t="s">
        <v>369</v>
      </c>
      <c r="B318" s="609" t="s">
        <v>439</v>
      </c>
      <c r="C318" s="609" t="s">
        <v>438</v>
      </c>
      <c r="D318" s="610" t="s">
        <v>462</v>
      </c>
      <c r="E318" s="610" t="s">
        <v>463</v>
      </c>
      <c r="F318" s="610" t="s">
        <v>464</v>
      </c>
      <c r="G318" s="610" t="s">
        <v>465</v>
      </c>
      <c r="H318" s="610" t="s">
        <v>466</v>
      </c>
      <c r="I318" s="611" t="s">
        <v>709</v>
      </c>
      <c r="J318" s="611" t="s">
        <v>710</v>
      </c>
    </row>
    <row r="319" spans="1:10" ht="15.75" customHeight="1">
      <c r="A319" s="612" t="s">
        <v>384</v>
      </c>
      <c r="B319" s="613" t="s">
        <v>383</v>
      </c>
      <c r="C319" s="613" t="s">
        <v>385</v>
      </c>
      <c r="D319" s="387">
        <v>15122000</v>
      </c>
      <c r="E319" s="387">
        <v>1125000</v>
      </c>
      <c r="F319" s="387">
        <v>299050</v>
      </c>
      <c r="G319" s="387">
        <v>548000</v>
      </c>
      <c r="H319" s="387">
        <f>10167900+356200</f>
        <v>10524100</v>
      </c>
      <c r="I319" s="387">
        <v>21100</v>
      </c>
      <c r="J319" s="387">
        <v>27639250</v>
      </c>
    </row>
    <row r="320" spans="1:10" ht="15.75" customHeight="1">
      <c r="A320" s="612" t="s">
        <v>384</v>
      </c>
      <c r="B320" s="613" t="s">
        <v>388</v>
      </c>
      <c r="C320" s="613" t="s">
        <v>389</v>
      </c>
      <c r="D320" s="387">
        <v>11256000</v>
      </c>
      <c r="E320" s="387">
        <v>945000</v>
      </c>
      <c r="F320" s="387">
        <v>300050</v>
      </c>
      <c r="G320" s="387">
        <v>0</v>
      </c>
      <c r="H320" s="387">
        <f>4425000+281700</f>
        <v>4706700</v>
      </c>
      <c r="I320" s="387">
        <v>64500</v>
      </c>
      <c r="J320" s="387">
        <v>17272250</v>
      </c>
    </row>
    <row r="321" spans="1:12" ht="15.75" customHeight="1">
      <c r="A321" s="612" t="s">
        <v>384</v>
      </c>
      <c r="B321" s="613" t="s">
        <v>392</v>
      </c>
      <c r="C321" s="613" t="s">
        <v>393</v>
      </c>
      <c r="D321" s="387">
        <v>6083000</v>
      </c>
      <c r="E321" s="387">
        <v>398550</v>
      </c>
      <c r="F321" s="387">
        <v>101000</v>
      </c>
      <c r="G321" s="387">
        <v>28000</v>
      </c>
      <c r="H321" s="387">
        <f>893600+118800</f>
        <v>1012400</v>
      </c>
      <c r="I321" s="387">
        <v>0</v>
      </c>
      <c r="J321" s="387">
        <v>7622950</v>
      </c>
    </row>
    <row r="322" spans="1:12" ht="15.75" customHeight="1">
      <c r="A322" s="612" t="s">
        <v>384</v>
      </c>
      <c r="B322" s="613" t="s">
        <v>390</v>
      </c>
      <c r="C322" s="613" t="s">
        <v>391</v>
      </c>
      <c r="D322" s="387">
        <v>5616376</v>
      </c>
      <c r="E322" s="387">
        <v>0</v>
      </c>
      <c r="F322" s="387">
        <v>0</v>
      </c>
      <c r="G322" s="387">
        <v>0</v>
      </c>
      <c r="H322" s="387">
        <v>117100</v>
      </c>
      <c r="I322" s="387">
        <v>0</v>
      </c>
      <c r="J322" s="387">
        <v>5733476</v>
      </c>
    </row>
    <row r="323" spans="1:12" ht="15.75" customHeight="1">
      <c r="A323" s="612" t="s">
        <v>384</v>
      </c>
      <c r="B323" s="613" t="s">
        <v>394</v>
      </c>
      <c r="C323" s="613" t="s">
        <v>395</v>
      </c>
      <c r="D323" s="387">
        <v>4623916</v>
      </c>
      <c r="E323" s="387">
        <v>0</v>
      </c>
      <c r="F323" s="387">
        <v>0</v>
      </c>
      <c r="G323" s="387">
        <v>0</v>
      </c>
      <c r="H323" s="387">
        <v>242900</v>
      </c>
      <c r="I323" s="387">
        <v>15900</v>
      </c>
      <c r="J323" s="387">
        <v>4882716</v>
      </c>
    </row>
    <row r="324" spans="1:12" ht="15.75" customHeight="1">
      <c r="A324" s="612" t="s">
        <v>384</v>
      </c>
      <c r="B324" s="613" t="s">
        <v>397</v>
      </c>
      <c r="C324" s="614" t="s">
        <v>711</v>
      </c>
      <c r="D324" s="387">
        <v>3800657</v>
      </c>
      <c r="E324" s="387">
        <v>0</v>
      </c>
      <c r="F324" s="387">
        <v>0</v>
      </c>
      <c r="G324" s="387">
        <v>0</v>
      </c>
      <c r="H324" s="387">
        <v>305000</v>
      </c>
      <c r="I324" s="387">
        <v>0</v>
      </c>
      <c r="J324" s="387">
        <v>4105657</v>
      </c>
    </row>
    <row r="325" spans="1:12" ht="15.75" customHeight="1">
      <c r="A325" s="612" t="s">
        <v>384</v>
      </c>
      <c r="B325" s="613" t="s">
        <v>399</v>
      </c>
      <c r="C325" s="613" t="s">
        <v>400</v>
      </c>
      <c r="D325" s="387">
        <v>3350000</v>
      </c>
      <c r="E325" s="387">
        <v>0</v>
      </c>
      <c r="F325" s="387">
        <v>82750</v>
      </c>
      <c r="G325" s="387">
        <v>28000</v>
      </c>
      <c r="H325" s="387">
        <v>315300</v>
      </c>
      <c r="I325" s="387">
        <v>0</v>
      </c>
      <c r="J325" s="387">
        <v>3776050</v>
      </c>
    </row>
    <row r="326" spans="1:12" ht="15.75" customHeight="1">
      <c r="A326" s="612" t="s">
        <v>191</v>
      </c>
      <c r="B326" s="613" t="s">
        <v>396</v>
      </c>
      <c r="C326" s="613" t="s">
        <v>486</v>
      </c>
      <c r="D326" s="387">
        <v>3444800</v>
      </c>
      <c r="E326" s="387">
        <v>0</v>
      </c>
      <c r="F326" s="387">
        <v>80750</v>
      </c>
      <c r="G326" s="387">
        <v>0</v>
      </c>
      <c r="H326" s="387">
        <v>0</v>
      </c>
      <c r="I326" s="387">
        <v>0</v>
      </c>
      <c r="J326" s="387">
        <v>3525550</v>
      </c>
    </row>
    <row r="327" spans="1:12" ht="15.75" customHeight="1">
      <c r="A327" s="612" t="s">
        <v>384</v>
      </c>
      <c r="B327" s="613" t="s">
        <v>405</v>
      </c>
      <c r="C327" s="613" t="s">
        <v>406</v>
      </c>
      <c r="D327" s="387">
        <v>2992249</v>
      </c>
      <c r="E327" s="387">
        <v>0</v>
      </c>
      <c r="F327" s="387">
        <v>0</v>
      </c>
      <c r="G327" s="387">
        <v>0</v>
      </c>
      <c r="H327" s="387">
        <v>54800</v>
      </c>
      <c r="I327" s="387">
        <v>0</v>
      </c>
      <c r="J327" s="387">
        <v>3047049</v>
      </c>
    </row>
    <row r="328" spans="1:12" ht="15.75" customHeight="1">
      <c r="A328" s="612" t="s">
        <v>384</v>
      </c>
      <c r="B328" s="613" t="s">
        <v>401</v>
      </c>
      <c r="C328" s="614" t="s">
        <v>712</v>
      </c>
      <c r="D328" s="387">
        <v>2157740</v>
      </c>
      <c r="E328" s="387">
        <v>0</v>
      </c>
      <c r="F328" s="387">
        <v>65000</v>
      </c>
      <c r="G328" s="387">
        <v>56000</v>
      </c>
      <c r="H328" s="387">
        <v>124600</v>
      </c>
      <c r="I328" s="387">
        <v>0</v>
      </c>
      <c r="J328" s="387">
        <v>2403340</v>
      </c>
    </row>
    <row r="329" spans="1:12" ht="15.75" customHeight="1">
      <c r="A329" s="612" t="s">
        <v>191</v>
      </c>
      <c r="B329" s="613" t="s">
        <v>412</v>
      </c>
      <c r="C329" s="613" t="s">
        <v>413</v>
      </c>
      <c r="D329" s="387">
        <v>1512000</v>
      </c>
      <c r="E329" s="387">
        <v>0</v>
      </c>
      <c r="F329" s="387">
        <v>91750</v>
      </c>
      <c r="G329" s="387">
        <v>112000</v>
      </c>
      <c r="H329" s="387">
        <v>46800</v>
      </c>
      <c r="I329" s="387">
        <v>0</v>
      </c>
      <c r="J329" s="387">
        <v>1762550</v>
      </c>
    </row>
    <row r="330" spans="1:12" ht="15.75" customHeight="1">
      <c r="A330" s="612" t="s">
        <v>191</v>
      </c>
      <c r="B330" s="613" t="s">
        <v>409</v>
      </c>
      <c r="C330" s="613" t="s">
        <v>410</v>
      </c>
      <c r="D330" s="387">
        <v>1063400</v>
      </c>
      <c r="E330" s="387">
        <v>0</v>
      </c>
      <c r="F330" s="387">
        <v>0</v>
      </c>
      <c r="G330" s="387">
        <v>0</v>
      </c>
      <c r="H330" s="387">
        <v>0</v>
      </c>
      <c r="I330" s="387">
        <v>0</v>
      </c>
      <c r="J330" s="387">
        <v>1063400</v>
      </c>
    </row>
    <row r="331" spans="1:12" ht="15.75" customHeight="1">
      <c r="A331" s="612" t="s">
        <v>191</v>
      </c>
      <c r="B331" s="613" t="s">
        <v>403</v>
      </c>
      <c r="C331" s="613" t="s">
        <v>404</v>
      </c>
      <c r="D331" s="387">
        <v>822666</v>
      </c>
      <c r="E331" s="387">
        <v>0</v>
      </c>
      <c r="F331" s="387">
        <v>0</v>
      </c>
      <c r="G331" s="387">
        <v>0</v>
      </c>
      <c r="H331" s="387">
        <v>0</v>
      </c>
      <c r="I331" s="387">
        <v>0</v>
      </c>
      <c r="J331" s="387">
        <v>822666</v>
      </c>
      <c r="K331" s="551">
        <v>1</v>
      </c>
      <c r="L331" s="644">
        <f>SUM(J331:J368)</f>
        <v>8041066</v>
      </c>
    </row>
    <row r="332" spans="1:12" ht="15.75" customHeight="1">
      <c r="A332" s="612" t="s">
        <v>191</v>
      </c>
      <c r="B332" s="613" t="s">
        <v>442</v>
      </c>
      <c r="C332" s="614" t="s">
        <v>713</v>
      </c>
      <c r="D332" s="387">
        <v>304000</v>
      </c>
      <c r="E332" s="387">
        <v>0</v>
      </c>
      <c r="F332" s="387">
        <v>0</v>
      </c>
      <c r="G332" s="387">
        <v>0</v>
      </c>
      <c r="H332" s="387"/>
      <c r="I332" s="387">
        <v>0</v>
      </c>
      <c r="J332" s="387">
        <v>304000</v>
      </c>
      <c r="K332" s="551">
        <f>+K331+1</f>
        <v>2</v>
      </c>
    </row>
    <row r="333" spans="1:12" ht="15.75" customHeight="1">
      <c r="A333" s="612" t="s">
        <v>191</v>
      </c>
      <c r="B333" s="613" t="s">
        <v>414</v>
      </c>
      <c r="C333" s="613" t="s">
        <v>415</v>
      </c>
      <c r="D333" s="387">
        <v>575200</v>
      </c>
      <c r="E333" s="387">
        <v>0</v>
      </c>
      <c r="F333" s="387">
        <v>0</v>
      </c>
      <c r="G333" s="387">
        <v>0</v>
      </c>
      <c r="H333" s="387">
        <v>12300</v>
      </c>
      <c r="I333" s="387">
        <v>0</v>
      </c>
      <c r="J333" s="387">
        <v>587500</v>
      </c>
      <c r="K333" s="551">
        <f t="shared" ref="K333:K368" si="10">+K332+1</f>
        <v>3</v>
      </c>
    </row>
    <row r="334" spans="1:12" ht="15.75" customHeight="1">
      <c r="A334" s="612" t="s">
        <v>191</v>
      </c>
      <c r="B334" s="613" t="s">
        <v>521</v>
      </c>
      <c r="C334" s="614" t="s">
        <v>714</v>
      </c>
      <c r="D334" s="387">
        <v>340000</v>
      </c>
      <c r="E334" s="387">
        <v>0</v>
      </c>
      <c r="F334" s="387">
        <v>0</v>
      </c>
      <c r="G334" s="387">
        <v>192000</v>
      </c>
      <c r="H334" s="387">
        <v>0</v>
      </c>
      <c r="I334" s="387">
        <v>0</v>
      </c>
      <c r="J334" s="387">
        <v>532000</v>
      </c>
      <c r="K334" s="551">
        <f t="shared" si="10"/>
        <v>4</v>
      </c>
    </row>
    <row r="335" spans="1:12" ht="15.75" customHeight="1">
      <c r="A335" s="612" t="s">
        <v>191</v>
      </c>
      <c r="B335" s="613" t="s">
        <v>715</v>
      </c>
      <c r="C335" s="613" t="s">
        <v>716</v>
      </c>
      <c r="D335" s="387">
        <v>399000</v>
      </c>
      <c r="E335" s="387">
        <v>0</v>
      </c>
      <c r="F335" s="387">
        <v>0</v>
      </c>
      <c r="G335" s="387">
        <v>0</v>
      </c>
      <c r="H335" s="387">
        <v>0</v>
      </c>
      <c r="I335" s="387">
        <v>165000</v>
      </c>
      <c r="J335" s="387">
        <v>564000</v>
      </c>
      <c r="K335" s="551">
        <f t="shared" si="10"/>
        <v>5</v>
      </c>
    </row>
    <row r="336" spans="1:12" ht="15.75" customHeight="1">
      <c r="A336" s="612" t="s">
        <v>191</v>
      </c>
      <c r="B336" s="613" t="s">
        <v>418</v>
      </c>
      <c r="C336" s="613" t="s">
        <v>419</v>
      </c>
      <c r="D336" s="387">
        <v>432800</v>
      </c>
      <c r="E336" s="387">
        <v>0</v>
      </c>
      <c r="F336" s="387">
        <v>0</v>
      </c>
      <c r="G336" s="387">
        <v>0</v>
      </c>
      <c r="H336" s="387">
        <v>1700</v>
      </c>
      <c r="I336" s="387">
        <v>0</v>
      </c>
      <c r="J336" s="387">
        <v>434500</v>
      </c>
      <c r="K336" s="551">
        <f t="shared" si="10"/>
        <v>6</v>
      </c>
    </row>
    <row r="337" spans="1:11" ht="15.75" customHeight="1">
      <c r="A337" s="612" t="s">
        <v>191</v>
      </c>
      <c r="B337" s="613" t="s">
        <v>523</v>
      </c>
      <c r="C337" s="613" t="s">
        <v>522</v>
      </c>
      <c r="D337" s="387">
        <v>361000</v>
      </c>
      <c r="E337" s="387">
        <v>0</v>
      </c>
      <c r="F337" s="387">
        <v>0</v>
      </c>
      <c r="G337" s="387">
        <v>67000</v>
      </c>
      <c r="H337" s="387">
        <v>0</v>
      </c>
      <c r="I337" s="387">
        <v>0</v>
      </c>
      <c r="J337" s="387">
        <v>428000</v>
      </c>
      <c r="K337" s="551">
        <f t="shared" si="10"/>
        <v>7</v>
      </c>
    </row>
    <row r="338" spans="1:11" ht="15.75" customHeight="1">
      <c r="A338" s="612" t="s">
        <v>191</v>
      </c>
      <c r="B338" s="613" t="s">
        <v>639</v>
      </c>
      <c r="C338" s="613" t="s">
        <v>638</v>
      </c>
      <c r="D338" s="387">
        <v>418000</v>
      </c>
      <c r="E338" s="387">
        <v>0</v>
      </c>
      <c r="F338" s="387">
        <v>0</v>
      </c>
      <c r="G338" s="387">
        <v>0</v>
      </c>
      <c r="H338" s="387">
        <v>200</v>
      </c>
      <c r="I338" s="387">
        <v>0</v>
      </c>
      <c r="J338" s="387">
        <v>418200</v>
      </c>
      <c r="K338" s="551">
        <f t="shared" si="10"/>
        <v>8</v>
      </c>
    </row>
    <row r="339" spans="1:11" ht="15.75" customHeight="1">
      <c r="A339" s="612" t="s">
        <v>191</v>
      </c>
      <c r="B339" s="613" t="s">
        <v>717</v>
      </c>
      <c r="C339" s="613" t="s">
        <v>718</v>
      </c>
      <c r="D339" s="387">
        <v>418000</v>
      </c>
      <c r="E339" s="387">
        <v>0</v>
      </c>
      <c r="F339" s="387">
        <v>0</v>
      </c>
      <c r="G339" s="387">
        <v>0</v>
      </c>
      <c r="H339" s="387">
        <v>0</v>
      </c>
      <c r="I339" s="387">
        <v>0</v>
      </c>
      <c r="J339" s="387">
        <v>418000</v>
      </c>
      <c r="K339" s="551">
        <f t="shared" si="10"/>
        <v>9</v>
      </c>
    </row>
    <row r="340" spans="1:11" ht="15.75" customHeight="1">
      <c r="A340" s="612" t="s">
        <v>191</v>
      </c>
      <c r="B340" s="613" t="s">
        <v>425</v>
      </c>
      <c r="C340" s="614" t="s">
        <v>719</v>
      </c>
      <c r="D340" s="387">
        <v>275000</v>
      </c>
      <c r="E340" s="387">
        <v>0</v>
      </c>
      <c r="F340" s="387">
        <v>0</v>
      </c>
      <c r="G340" s="387">
        <v>107650</v>
      </c>
      <c r="H340" s="387">
        <v>4700</v>
      </c>
      <c r="I340" s="387">
        <v>0</v>
      </c>
      <c r="J340" s="387">
        <v>387350</v>
      </c>
      <c r="K340" s="551">
        <f t="shared" si="10"/>
        <v>10</v>
      </c>
    </row>
    <row r="341" spans="1:11" ht="15.75" customHeight="1">
      <c r="A341" s="612" t="s">
        <v>191</v>
      </c>
      <c r="B341" s="613" t="s">
        <v>411</v>
      </c>
      <c r="C341" s="613" t="s">
        <v>720</v>
      </c>
      <c r="D341" s="387">
        <v>363000</v>
      </c>
      <c r="E341" s="387">
        <v>0</v>
      </c>
      <c r="F341" s="387">
        <v>0</v>
      </c>
      <c r="G341" s="387">
        <v>0</v>
      </c>
      <c r="H341" s="387">
        <v>0</v>
      </c>
      <c r="I341" s="387">
        <v>0</v>
      </c>
      <c r="J341" s="387">
        <v>363000</v>
      </c>
      <c r="K341" s="551">
        <f t="shared" si="10"/>
        <v>11</v>
      </c>
    </row>
    <row r="342" spans="1:11" ht="15.75" customHeight="1">
      <c r="A342" s="612" t="s">
        <v>191</v>
      </c>
      <c r="B342" s="613" t="s">
        <v>416</v>
      </c>
      <c r="C342" s="613" t="s">
        <v>417</v>
      </c>
      <c r="D342" s="387">
        <v>344000</v>
      </c>
      <c r="E342" s="387">
        <v>0</v>
      </c>
      <c r="F342" s="387">
        <v>0</v>
      </c>
      <c r="G342" s="387">
        <v>0</v>
      </c>
      <c r="H342" s="387">
        <v>0</v>
      </c>
      <c r="I342" s="387">
        <v>0</v>
      </c>
      <c r="J342" s="387">
        <v>344000</v>
      </c>
      <c r="K342" s="551">
        <f t="shared" si="10"/>
        <v>12</v>
      </c>
    </row>
    <row r="343" spans="1:11" ht="15.75" customHeight="1">
      <c r="A343" s="612" t="s">
        <v>191</v>
      </c>
      <c r="B343" s="613" t="s">
        <v>422</v>
      </c>
      <c r="C343" s="613" t="s">
        <v>721</v>
      </c>
      <c r="D343" s="387">
        <v>305000</v>
      </c>
      <c r="E343" s="387">
        <v>0</v>
      </c>
      <c r="F343" s="387">
        <v>0</v>
      </c>
      <c r="G343" s="387">
        <v>0</v>
      </c>
      <c r="H343" s="387">
        <v>0</v>
      </c>
      <c r="I343" s="387">
        <v>0</v>
      </c>
      <c r="J343" s="387">
        <v>305000</v>
      </c>
      <c r="K343" s="551">
        <f t="shared" si="10"/>
        <v>13</v>
      </c>
    </row>
    <row r="344" spans="1:11" ht="15.75" customHeight="1">
      <c r="A344" s="612" t="s">
        <v>191</v>
      </c>
      <c r="B344" s="613" t="s">
        <v>473</v>
      </c>
      <c r="C344" s="613" t="s">
        <v>472</v>
      </c>
      <c r="D344" s="387">
        <v>292000</v>
      </c>
      <c r="E344" s="387">
        <v>0</v>
      </c>
      <c r="F344" s="387">
        <v>0</v>
      </c>
      <c r="G344" s="387">
        <v>0</v>
      </c>
      <c r="H344" s="387">
        <v>0</v>
      </c>
      <c r="I344" s="387">
        <v>0</v>
      </c>
      <c r="J344" s="387">
        <v>292000</v>
      </c>
      <c r="K344" s="551">
        <f t="shared" si="10"/>
        <v>14</v>
      </c>
    </row>
    <row r="345" spans="1:11" ht="15.75" customHeight="1">
      <c r="A345" s="612" t="s">
        <v>191</v>
      </c>
      <c r="B345" s="613" t="s">
        <v>722</v>
      </c>
      <c r="C345" s="614" t="s">
        <v>723</v>
      </c>
      <c r="D345" s="387">
        <v>287000</v>
      </c>
      <c r="E345" s="387">
        <v>0</v>
      </c>
      <c r="F345" s="387">
        <v>0</v>
      </c>
      <c r="G345" s="387">
        <v>0</v>
      </c>
      <c r="H345" s="387">
        <v>0</v>
      </c>
      <c r="I345" s="387">
        <v>0</v>
      </c>
      <c r="J345" s="387">
        <v>287000</v>
      </c>
      <c r="K345" s="551">
        <f t="shared" si="10"/>
        <v>15</v>
      </c>
    </row>
    <row r="346" spans="1:11" ht="15.75" customHeight="1">
      <c r="A346" s="612" t="s">
        <v>191</v>
      </c>
      <c r="B346" s="613" t="s">
        <v>492</v>
      </c>
      <c r="C346" s="613" t="s">
        <v>491</v>
      </c>
      <c r="D346" s="387">
        <v>0</v>
      </c>
      <c r="E346" s="387">
        <v>0</v>
      </c>
      <c r="F346" s="387">
        <v>0</v>
      </c>
      <c r="G346" s="387">
        <v>167000</v>
      </c>
      <c r="H346" s="387">
        <v>0</v>
      </c>
      <c r="I346" s="387">
        <v>0</v>
      </c>
      <c r="J346" s="387">
        <v>167000</v>
      </c>
      <c r="K346" s="551">
        <f t="shared" si="10"/>
        <v>16</v>
      </c>
    </row>
    <row r="347" spans="1:11" ht="15.75" customHeight="1">
      <c r="A347" s="612" t="s">
        <v>191</v>
      </c>
      <c r="B347" s="613" t="s">
        <v>478</v>
      </c>
      <c r="C347" s="613" t="s">
        <v>477</v>
      </c>
      <c r="D347" s="387">
        <v>149150</v>
      </c>
      <c r="E347" s="387">
        <v>0</v>
      </c>
      <c r="F347" s="387">
        <v>0</v>
      </c>
      <c r="G347" s="387">
        <v>0</v>
      </c>
      <c r="H347" s="387">
        <v>0</v>
      </c>
      <c r="I347" s="387">
        <v>0</v>
      </c>
      <c r="J347" s="387">
        <v>149150</v>
      </c>
      <c r="K347" s="551">
        <f t="shared" si="10"/>
        <v>17</v>
      </c>
    </row>
    <row r="348" spans="1:11" ht="15.75" customHeight="1">
      <c r="A348" s="612" t="s">
        <v>191</v>
      </c>
      <c r="B348" s="613" t="s">
        <v>407</v>
      </c>
      <c r="C348" s="613" t="s">
        <v>408</v>
      </c>
      <c r="D348" s="387">
        <v>130300</v>
      </c>
      <c r="E348" s="387">
        <v>0</v>
      </c>
      <c r="F348" s="387">
        <v>0</v>
      </c>
      <c r="G348" s="387">
        <v>0</v>
      </c>
      <c r="H348" s="387">
        <v>0</v>
      </c>
      <c r="I348" s="387">
        <v>0</v>
      </c>
      <c r="J348" s="387">
        <v>130300</v>
      </c>
      <c r="K348" s="551">
        <f t="shared" si="10"/>
        <v>18</v>
      </c>
    </row>
    <row r="349" spans="1:11" ht="15.75" customHeight="1">
      <c r="A349" s="612" t="s">
        <v>191</v>
      </c>
      <c r="B349" s="613" t="s">
        <v>495</v>
      </c>
      <c r="C349" s="613" t="s">
        <v>494</v>
      </c>
      <c r="D349" s="387">
        <v>126000</v>
      </c>
      <c r="E349" s="387">
        <v>0</v>
      </c>
      <c r="F349" s="387">
        <v>0</v>
      </c>
      <c r="G349" s="387">
        <v>0</v>
      </c>
      <c r="H349" s="387">
        <v>0</v>
      </c>
      <c r="I349" s="387">
        <v>0</v>
      </c>
      <c r="J349" s="387">
        <v>126000</v>
      </c>
      <c r="K349" s="551">
        <f t="shared" si="10"/>
        <v>19</v>
      </c>
    </row>
    <row r="350" spans="1:11" ht="15.75" customHeight="1">
      <c r="A350" s="612" t="s">
        <v>191</v>
      </c>
      <c r="B350" s="613" t="s">
        <v>671</v>
      </c>
      <c r="C350" s="613" t="s">
        <v>670</v>
      </c>
      <c r="D350" s="387">
        <v>119400</v>
      </c>
      <c r="E350" s="387">
        <v>0</v>
      </c>
      <c r="F350" s="387">
        <v>0</v>
      </c>
      <c r="G350" s="387">
        <v>0</v>
      </c>
      <c r="H350" s="387">
        <v>0</v>
      </c>
      <c r="I350" s="387">
        <v>0</v>
      </c>
      <c r="J350" s="387">
        <v>119400</v>
      </c>
      <c r="K350" s="551">
        <f t="shared" si="10"/>
        <v>20</v>
      </c>
    </row>
    <row r="351" spans="1:11" ht="15.75" customHeight="1">
      <c r="A351" s="612" t="s">
        <v>191</v>
      </c>
      <c r="B351" s="613" t="s">
        <v>497</v>
      </c>
      <c r="C351" s="613" t="s">
        <v>496</v>
      </c>
      <c r="D351" s="387">
        <v>36000</v>
      </c>
      <c r="E351" s="387">
        <v>0</v>
      </c>
      <c r="F351" s="387">
        <v>82750</v>
      </c>
      <c r="G351" s="387">
        <v>0</v>
      </c>
      <c r="H351" s="387">
        <v>400</v>
      </c>
      <c r="I351" s="387">
        <v>0</v>
      </c>
      <c r="J351" s="387">
        <v>119150</v>
      </c>
      <c r="K351" s="551">
        <f t="shared" si="10"/>
        <v>21</v>
      </c>
    </row>
    <row r="352" spans="1:11" ht="15.75" customHeight="1">
      <c r="A352" s="612" t="s">
        <v>191</v>
      </c>
      <c r="B352" s="613" t="s">
        <v>499</v>
      </c>
      <c r="C352" s="613" t="s">
        <v>498</v>
      </c>
      <c r="D352" s="387">
        <v>117850</v>
      </c>
      <c r="E352" s="387">
        <v>0</v>
      </c>
      <c r="F352" s="387">
        <v>0</v>
      </c>
      <c r="G352" s="387">
        <v>0</v>
      </c>
      <c r="H352" s="387">
        <v>0</v>
      </c>
      <c r="I352" s="387">
        <v>0</v>
      </c>
      <c r="J352" s="387">
        <v>117850</v>
      </c>
      <c r="K352" s="551">
        <f t="shared" si="10"/>
        <v>22</v>
      </c>
    </row>
    <row r="353" spans="1:11" ht="15.75" customHeight="1">
      <c r="A353" s="612" t="s">
        <v>191</v>
      </c>
      <c r="B353" s="613" t="s">
        <v>505</v>
      </c>
      <c r="C353" s="614" t="s">
        <v>724</v>
      </c>
      <c r="D353" s="387">
        <v>114750</v>
      </c>
      <c r="E353" s="387">
        <v>0</v>
      </c>
      <c r="F353" s="387">
        <v>0</v>
      </c>
      <c r="G353" s="387">
        <v>0</v>
      </c>
      <c r="H353" s="387">
        <v>0</v>
      </c>
      <c r="I353" s="387">
        <v>0</v>
      </c>
      <c r="J353" s="387">
        <v>114750</v>
      </c>
      <c r="K353" s="551">
        <f t="shared" si="10"/>
        <v>23</v>
      </c>
    </row>
    <row r="354" spans="1:11" ht="15.75" customHeight="1">
      <c r="A354" s="612" t="s">
        <v>191</v>
      </c>
      <c r="B354" s="613" t="s">
        <v>440</v>
      </c>
      <c r="C354" s="614" t="s">
        <v>725</v>
      </c>
      <c r="D354" s="387">
        <v>102050</v>
      </c>
      <c r="E354" s="387">
        <v>0</v>
      </c>
      <c r="F354" s="387">
        <v>0</v>
      </c>
      <c r="G354" s="387">
        <v>0</v>
      </c>
      <c r="H354" s="387">
        <v>0</v>
      </c>
      <c r="I354" s="387">
        <v>0</v>
      </c>
      <c r="J354" s="387">
        <v>102050</v>
      </c>
      <c r="K354" s="551">
        <f t="shared" si="10"/>
        <v>24</v>
      </c>
    </row>
    <row r="355" spans="1:11" ht="15.75" customHeight="1">
      <c r="A355" s="612" t="s">
        <v>191</v>
      </c>
      <c r="B355" s="613" t="s">
        <v>420</v>
      </c>
      <c r="C355" s="613" t="s">
        <v>421</v>
      </c>
      <c r="D355" s="387">
        <v>86500</v>
      </c>
      <c r="E355" s="387">
        <v>0</v>
      </c>
      <c r="F355" s="387">
        <v>0</v>
      </c>
      <c r="G355" s="387">
        <v>0</v>
      </c>
      <c r="H355" s="387">
        <v>0</v>
      </c>
      <c r="I355" s="387">
        <v>0</v>
      </c>
      <c r="J355" s="387">
        <v>86500</v>
      </c>
      <c r="K355" s="551">
        <f t="shared" si="10"/>
        <v>25</v>
      </c>
    </row>
    <row r="356" spans="1:11" ht="15.75" customHeight="1">
      <c r="A356" s="612" t="s">
        <v>191</v>
      </c>
      <c r="B356" s="613" t="s">
        <v>501</v>
      </c>
      <c r="C356" s="613" t="s">
        <v>500</v>
      </c>
      <c r="D356" s="387">
        <v>0</v>
      </c>
      <c r="E356" s="387">
        <v>0</v>
      </c>
      <c r="F356" s="387">
        <v>82750</v>
      </c>
      <c r="G356" s="387">
        <v>0</v>
      </c>
      <c r="H356" s="387">
        <v>0</v>
      </c>
      <c r="I356" s="387">
        <v>0</v>
      </c>
      <c r="J356" s="387">
        <v>82750</v>
      </c>
      <c r="K356" s="551">
        <f t="shared" si="10"/>
        <v>26</v>
      </c>
    </row>
    <row r="357" spans="1:11" ht="15.75" customHeight="1">
      <c r="A357" s="612" t="s">
        <v>191</v>
      </c>
      <c r="B357" s="613" t="s">
        <v>664</v>
      </c>
      <c r="C357" s="613" t="s">
        <v>663</v>
      </c>
      <c r="D357" s="387">
        <v>72000</v>
      </c>
      <c r="E357" s="387">
        <v>0</v>
      </c>
      <c r="F357" s="387">
        <v>0</v>
      </c>
      <c r="G357" s="387">
        <v>0</v>
      </c>
      <c r="H357" s="387">
        <v>900</v>
      </c>
      <c r="I357" s="387">
        <v>0</v>
      </c>
      <c r="J357" s="387">
        <v>72900</v>
      </c>
      <c r="K357" s="551">
        <f t="shared" si="10"/>
        <v>27</v>
      </c>
    </row>
    <row r="358" spans="1:11" ht="15.75" customHeight="1">
      <c r="A358" s="612" t="s">
        <v>191</v>
      </c>
      <c r="B358" s="613" t="s">
        <v>726</v>
      </c>
      <c r="C358" s="614" t="s">
        <v>727</v>
      </c>
      <c r="D358" s="387">
        <v>42000</v>
      </c>
      <c r="E358" s="387">
        <v>0</v>
      </c>
      <c r="F358" s="387">
        <v>0</v>
      </c>
      <c r="G358" s="387">
        <v>0</v>
      </c>
      <c r="H358" s="387">
        <v>0</v>
      </c>
      <c r="I358" s="387">
        <v>0</v>
      </c>
      <c r="J358" s="387">
        <v>42000</v>
      </c>
      <c r="K358" s="551">
        <f t="shared" si="10"/>
        <v>28</v>
      </c>
    </row>
    <row r="359" spans="1:11" ht="15.75" customHeight="1">
      <c r="A359" s="612" t="s">
        <v>191</v>
      </c>
      <c r="B359" s="613" t="s">
        <v>514</v>
      </c>
      <c r="C359" s="614" t="s">
        <v>728</v>
      </c>
      <c r="D359" s="387">
        <v>26300</v>
      </c>
      <c r="E359" s="387">
        <v>0</v>
      </c>
      <c r="F359" s="387">
        <v>0</v>
      </c>
      <c r="G359" s="387">
        <v>0</v>
      </c>
      <c r="H359" s="387">
        <v>0</v>
      </c>
      <c r="I359" s="387">
        <v>0</v>
      </c>
      <c r="J359" s="387">
        <v>26300</v>
      </c>
      <c r="K359" s="551">
        <f t="shared" si="10"/>
        <v>29</v>
      </c>
    </row>
    <row r="360" spans="1:11" ht="15.75" customHeight="1">
      <c r="A360" s="612" t="s">
        <v>191</v>
      </c>
      <c r="B360" s="613" t="s">
        <v>659</v>
      </c>
      <c r="C360" s="613" t="s">
        <v>658</v>
      </c>
      <c r="D360" s="387">
        <v>22000</v>
      </c>
      <c r="E360" s="387">
        <v>0</v>
      </c>
      <c r="F360" s="387">
        <v>0</v>
      </c>
      <c r="G360" s="387">
        <v>0</v>
      </c>
      <c r="H360" s="387">
        <v>500</v>
      </c>
      <c r="I360" s="387">
        <v>0</v>
      </c>
      <c r="J360" s="387">
        <v>22500</v>
      </c>
      <c r="K360" s="551">
        <f t="shared" si="10"/>
        <v>30</v>
      </c>
    </row>
    <row r="361" spans="1:11" ht="15.75" customHeight="1">
      <c r="A361" s="612" t="s">
        <v>191</v>
      </c>
      <c r="B361" s="613" t="s">
        <v>651</v>
      </c>
      <c r="C361" s="613" t="s">
        <v>650</v>
      </c>
      <c r="D361" s="387">
        <v>18000</v>
      </c>
      <c r="E361" s="387">
        <v>0</v>
      </c>
      <c r="F361" s="387">
        <v>0</v>
      </c>
      <c r="G361" s="387">
        <v>0</v>
      </c>
      <c r="H361" s="387">
        <v>400</v>
      </c>
      <c r="I361" s="387">
        <v>0</v>
      </c>
      <c r="J361" s="387">
        <v>18400</v>
      </c>
      <c r="K361" s="551">
        <f t="shared" si="10"/>
        <v>31</v>
      </c>
    </row>
    <row r="362" spans="1:11" ht="15.75" customHeight="1">
      <c r="A362" s="612" t="s">
        <v>191</v>
      </c>
      <c r="B362" s="613" t="s">
        <v>469</v>
      </c>
      <c r="C362" s="613" t="s">
        <v>468</v>
      </c>
      <c r="D362" s="387">
        <v>15000</v>
      </c>
      <c r="E362" s="387">
        <v>0</v>
      </c>
      <c r="F362" s="387">
        <v>0</v>
      </c>
      <c r="G362" s="387">
        <v>0</v>
      </c>
      <c r="H362" s="387">
        <v>300</v>
      </c>
      <c r="I362" s="387">
        <v>0</v>
      </c>
      <c r="J362" s="387">
        <v>15300</v>
      </c>
      <c r="K362" s="551">
        <f t="shared" si="10"/>
        <v>32</v>
      </c>
    </row>
    <row r="363" spans="1:11" ht="15.75" customHeight="1">
      <c r="A363" s="612" t="s">
        <v>191</v>
      </c>
      <c r="B363" s="613" t="s">
        <v>641</v>
      </c>
      <c r="C363" s="613" t="s">
        <v>640</v>
      </c>
      <c r="D363" s="387">
        <v>15000</v>
      </c>
      <c r="E363" s="387">
        <v>0</v>
      </c>
      <c r="F363" s="387">
        <v>0</v>
      </c>
      <c r="G363" s="387">
        <v>0</v>
      </c>
      <c r="H363" s="387">
        <v>200</v>
      </c>
      <c r="I363" s="387">
        <v>0</v>
      </c>
      <c r="J363" s="387">
        <v>15200</v>
      </c>
      <c r="K363" s="551">
        <f t="shared" si="10"/>
        <v>33</v>
      </c>
    </row>
    <row r="364" spans="1:11" ht="15.75" customHeight="1">
      <c r="A364" s="612" t="s">
        <v>191</v>
      </c>
      <c r="B364" s="613" t="s">
        <v>675</v>
      </c>
      <c r="C364" s="613" t="s">
        <v>674</v>
      </c>
      <c r="D364" s="387">
        <v>10100</v>
      </c>
      <c r="E364" s="387">
        <v>0</v>
      </c>
      <c r="F364" s="387">
        <v>0</v>
      </c>
      <c r="G364" s="387">
        <v>0</v>
      </c>
      <c r="H364" s="387">
        <v>0</v>
      </c>
      <c r="I364" s="387">
        <v>0</v>
      </c>
      <c r="J364" s="387">
        <v>10100</v>
      </c>
      <c r="K364" s="551">
        <f t="shared" si="10"/>
        <v>34</v>
      </c>
    </row>
    <row r="365" spans="1:11" ht="15.75" customHeight="1">
      <c r="A365" s="612" t="s">
        <v>191</v>
      </c>
      <c r="B365" s="613" t="s">
        <v>729</v>
      </c>
      <c r="C365" s="614" t="s">
        <v>730</v>
      </c>
      <c r="D365" s="387">
        <v>10000</v>
      </c>
      <c r="E365" s="387">
        <v>0</v>
      </c>
      <c r="F365" s="387">
        <v>0</v>
      </c>
      <c r="G365" s="387">
        <v>0</v>
      </c>
      <c r="H365" s="387">
        <v>0</v>
      </c>
      <c r="I365" s="387">
        <v>0</v>
      </c>
      <c r="J365" s="387">
        <v>10000</v>
      </c>
      <c r="K365" s="551">
        <f t="shared" si="10"/>
        <v>35</v>
      </c>
    </row>
    <row r="366" spans="1:11" ht="15.75" customHeight="1">
      <c r="A366" s="612" t="s">
        <v>191</v>
      </c>
      <c r="B366" s="613" t="s">
        <v>512</v>
      </c>
      <c r="C366" s="613" t="s">
        <v>511</v>
      </c>
      <c r="D366" s="387">
        <v>0</v>
      </c>
      <c r="E366" s="387">
        <v>0</v>
      </c>
      <c r="F366" s="387">
        <v>3250</v>
      </c>
      <c r="G366" s="387">
        <v>0</v>
      </c>
      <c r="H366" s="387">
        <v>0</v>
      </c>
      <c r="I366" s="387">
        <v>0</v>
      </c>
      <c r="J366" s="387">
        <v>3250</v>
      </c>
      <c r="K366" s="551">
        <f t="shared" si="10"/>
        <v>36</v>
      </c>
    </row>
    <row r="367" spans="1:11" ht="15.75" customHeight="1">
      <c r="A367" s="612" t="s">
        <v>191</v>
      </c>
      <c r="B367" s="613" t="s">
        <v>731</v>
      </c>
      <c r="C367" s="613" t="s">
        <v>732</v>
      </c>
      <c r="D367" s="387">
        <v>2000</v>
      </c>
      <c r="E367" s="387">
        <v>0</v>
      </c>
      <c r="F367" s="387">
        <v>0</v>
      </c>
      <c r="G367" s="387">
        <v>0</v>
      </c>
      <c r="H367" s="387">
        <v>0</v>
      </c>
      <c r="I367" s="387">
        <v>0</v>
      </c>
      <c r="J367" s="387">
        <v>2000</v>
      </c>
      <c r="K367" s="551">
        <f t="shared" si="10"/>
        <v>37</v>
      </c>
    </row>
    <row r="368" spans="1:11" ht="15.75" customHeight="1">
      <c r="A368" s="612" t="s">
        <v>191</v>
      </c>
      <c r="B368" s="613" t="s">
        <v>733</v>
      </c>
      <c r="C368" s="613" t="s">
        <v>734</v>
      </c>
      <c r="D368" s="387">
        <v>1000</v>
      </c>
      <c r="E368" s="387">
        <v>0</v>
      </c>
      <c r="F368" s="387">
        <v>0</v>
      </c>
      <c r="G368" s="387">
        <v>0</v>
      </c>
      <c r="H368" s="387">
        <v>0</v>
      </c>
      <c r="I368" s="387">
        <v>0</v>
      </c>
      <c r="J368" s="387">
        <v>1000</v>
      </c>
      <c r="K368" s="551">
        <f t="shared" si="10"/>
        <v>38</v>
      </c>
    </row>
    <row r="369" spans="1:10" ht="15.75" customHeight="1">
      <c r="A369" s="607"/>
      <c r="B369" s="615"/>
      <c r="C369" s="616" t="s">
        <v>433</v>
      </c>
      <c r="D369" s="617">
        <f t="shared" ref="D369:J369" si="11">SUM(D319:D368)</f>
        <v>68174204</v>
      </c>
      <c r="E369" s="617">
        <f t="shared" si="11"/>
        <v>2468550</v>
      </c>
      <c r="F369" s="617">
        <f t="shared" si="11"/>
        <v>1189100</v>
      </c>
      <c r="G369" s="617">
        <f t="shared" si="11"/>
        <v>1305650</v>
      </c>
      <c r="H369" s="617">
        <f t="shared" si="11"/>
        <v>17471300</v>
      </c>
      <c r="I369" s="617">
        <f t="shared" si="11"/>
        <v>266500</v>
      </c>
      <c r="J369" s="617">
        <f t="shared" si="11"/>
        <v>90875304</v>
      </c>
    </row>
    <row r="370" spans="1:10" ht="15.75" customHeight="1">
      <c r="A370" s="607"/>
      <c r="B370" s="618"/>
      <c r="C370" s="618"/>
      <c r="D370" s="619"/>
      <c r="E370" s="608"/>
      <c r="F370" s="608"/>
      <c r="G370" s="608"/>
      <c r="H370" s="608"/>
      <c r="I370" s="608"/>
      <c r="J370" s="608"/>
    </row>
    <row r="371" spans="1:10" ht="15.75" customHeight="1">
      <c r="A371" s="607"/>
      <c r="B371" s="607"/>
      <c r="C371" s="607"/>
      <c r="D371" s="620"/>
      <c r="E371" s="387"/>
      <c r="F371" s="608"/>
      <c r="G371" s="608"/>
      <c r="H371" s="608"/>
      <c r="I371" s="608"/>
      <c r="J371" s="608"/>
    </row>
    <row r="399" spans="2:16" ht="15.75" customHeight="1">
      <c r="B399" s="576"/>
      <c r="C399" s="865" t="s">
        <v>461</v>
      </c>
      <c r="D399" s="865"/>
      <c r="E399" s="575"/>
      <c r="F399" s="575"/>
      <c r="G399" s="575"/>
      <c r="H399" s="575"/>
      <c r="I399" s="575"/>
      <c r="J399" s="575"/>
      <c r="K399" s="575"/>
      <c r="L399" s="576"/>
      <c r="M399" s="576"/>
      <c r="N399" s="576"/>
      <c r="O399" s="576"/>
      <c r="P399" s="576"/>
    </row>
    <row r="400" spans="2:16" ht="15.75" customHeight="1">
      <c r="B400" s="576"/>
      <c r="C400" s="865" t="s">
        <v>485</v>
      </c>
      <c r="D400" s="865"/>
      <c r="E400" s="575"/>
      <c r="F400" s="575"/>
      <c r="G400" s="575"/>
      <c r="H400" s="575"/>
      <c r="I400" s="575"/>
      <c r="J400" s="575"/>
      <c r="K400" s="575"/>
      <c r="L400" s="576"/>
      <c r="M400" s="576"/>
      <c r="N400" s="576"/>
      <c r="O400" s="576"/>
      <c r="P400" s="576"/>
    </row>
    <row r="401" spans="1:16" ht="15.75" customHeight="1">
      <c r="A401" s="578" t="s">
        <v>191</v>
      </c>
      <c r="B401" s="576"/>
      <c r="C401" s="577">
        <v>43861</v>
      </c>
      <c r="D401" s="575"/>
      <c r="E401" s="575"/>
      <c r="F401" s="575"/>
      <c r="G401" s="575"/>
      <c r="H401" s="575"/>
      <c r="I401" s="575"/>
      <c r="J401" s="575"/>
      <c r="K401" s="575"/>
      <c r="L401" s="576"/>
      <c r="M401" s="576"/>
      <c r="N401" s="576"/>
      <c r="O401" s="576"/>
      <c r="P401" s="576"/>
    </row>
    <row r="402" spans="1:16" ht="15.75" customHeight="1">
      <c r="A402" s="552"/>
      <c r="B402" s="552"/>
      <c r="C402" s="552"/>
      <c r="D402" s="575"/>
      <c r="E402" s="575"/>
      <c r="F402" s="575"/>
      <c r="G402" s="575"/>
      <c r="H402" s="575"/>
      <c r="I402" s="575"/>
      <c r="J402" s="553"/>
      <c r="K402" s="574"/>
      <c r="L402" s="562"/>
      <c r="M402" s="552"/>
      <c r="O402" s="552"/>
      <c r="P402" s="552"/>
    </row>
    <row r="403" spans="1:16" ht="15.75" customHeight="1" thickBot="1">
      <c r="A403" s="573" t="s">
        <v>369</v>
      </c>
      <c r="B403" s="571" t="s">
        <v>439</v>
      </c>
      <c r="C403" s="571" t="s">
        <v>438</v>
      </c>
      <c r="D403" s="572" t="s">
        <v>462</v>
      </c>
      <c r="E403" s="572" t="s">
        <v>463</v>
      </c>
      <c r="F403" s="572" t="s">
        <v>464</v>
      </c>
      <c r="G403" s="572" t="s">
        <v>465</v>
      </c>
      <c r="H403" s="572" t="s">
        <v>467</v>
      </c>
      <c r="I403" s="572" t="s">
        <v>466</v>
      </c>
      <c r="J403" s="572" t="s">
        <v>676</v>
      </c>
      <c r="K403" s="571"/>
      <c r="L403" s="570"/>
      <c r="M403" s="552"/>
      <c r="N403" s="562"/>
      <c r="O403" s="552"/>
      <c r="P403" s="552"/>
    </row>
    <row r="404" spans="1:16" ht="15.75" customHeight="1">
      <c r="A404" s="568" t="s">
        <v>384</v>
      </c>
      <c r="B404" s="567" t="s">
        <v>386</v>
      </c>
      <c r="C404" s="567" t="s">
        <v>387</v>
      </c>
      <c r="D404" s="564">
        <v>16351700</v>
      </c>
      <c r="E404" s="564">
        <v>1026000</v>
      </c>
      <c r="F404" s="564">
        <v>165750</v>
      </c>
      <c r="G404" s="564">
        <v>145000</v>
      </c>
      <c r="H404" s="564">
        <v>284400</v>
      </c>
      <c r="I404" s="564">
        <v>9206000</v>
      </c>
      <c r="J404" s="564">
        <v>208600</v>
      </c>
      <c r="K404" s="564"/>
      <c r="L404" s="592">
        <f>+D404+E404</f>
        <v>17377700</v>
      </c>
      <c r="M404" s="565"/>
      <c r="N404" s="565"/>
      <c r="O404" s="565"/>
      <c r="P404" s="552"/>
    </row>
    <row r="405" spans="1:16" ht="15.75" customHeight="1">
      <c r="A405" s="568" t="s">
        <v>384</v>
      </c>
      <c r="B405" s="567" t="s">
        <v>383</v>
      </c>
      <c r="C405" s="567" t="s">
        <v>385</v>
      </c>
      <c r="D405" s="564">
        <v>14837000</v>
      </c>
      <c r="E405" s="564">
        <v>1125000</v>
      </c>
      <c r="F405" s="564">
        <v>299050</v>
      </c>
      <c r="G405" s="564">
        <v>548000</v>
      </c>
      <c r="H405" s="564">
        <v>332300</v>
      </c>
      <c r="I405" s="564">
        <v>9853400</v>
      </c>
      <c r="J405" s="564">
        <v>21100</v>
      </c>
      <c r="K405" s="564"/>
      <c r="L405" s="592"/>
      <c r="M405" s="565"/>
      <c r="N405" s="565"/>
      <c r="O405" s="565"/>
      <c r="P405" s="552"/>
    </row>
    <row r="406" spans="1:16" ht="15.75" customHeight="1">
      <c r="A406" s="568" t="s">
        <v>384</v>
      </c>
      <c r="B406" s="567" t="s">
        <v>388</v>
      </c>
      <c r="C406" s="567" t="s">
        <v>389</v>
      </c>
      <c r="D406" s="564">
        <v>10924000</v>
      </c>
      <c r="E406" s="564">
        <v>945000</v>
      </c>
      <c r="F406" s="564">
        <v>300050</v>
      </c>
      <c r="G406" s="564">
        <v>0</v>
      </c>
      <c r="H406" s="564">
        <v>261700</v>
      </c>
      <c r="I406" s="564">
        <v>4193400</v>
      </c>
      <c r="J406" s="564">
        <v>64500</v>
      </c>
      <c r="K406" s="564"/>
      <c r="L406" s="565"/>
      <c r="M406" s="565"/>
      <c r="N406" s="565"/>
      <c r="O406" s="565"/>
      <c r="P406" s="552"/>
    </row>
    <row r="407" spans="1:16" ht="15.75" customHeight="1">
      <c r="A407" s="568" t="s">
        <v>384</v>
      </c>
      <c r="B407" s="567" t="s">
        <v>392</v>
      </c>
      <c r="C407" s="567" t="s">
        <v>393</v>
      </c>
      <c r="D407" s="564">
        <v>5656000</v>
      </c>
      <c r="E407" s="564">
        <v>398550</v>
      </c>
      <c r="F407" s="564">
        <v>101000</v>
      </c>
      <c r="G407" s="564">
        <v>28000</v>
      </c>
      <c r="H407" s="564">
        <v>110400</v>
      </c>
      <c r="I407" s="564">
        <v>773700</v>
      </c>
      <c r="J407" s="564">
        <v>0</v>
      </c>
      <c r="K407" s="564"/>
      <c r="L407" s="565"/>
      <c r="M407" s="565"/>
      <c r="N407" s="565"/>
      <c r="O407" s="565"/>
      <c r="P407" s="552"/>
    </row>
    <row r="408" spans="1:16" ht="15.75" customHeight="1">
      <c r="A408" s="568" t="s">
        <v>384</v>
      </c>
      <c r="B408" s="567" t="s">
        <v>390</v>
      </c>
      <c r="C408" s="567" t="s">
        <v>391</v>
      </c>
      <c r="D408" s="564">
        <v>5525181</v>
      </c>
      <c r="E408" s="564">
        <v>0</v>
      </c>
      <c r="F408" s="564">
        <v>0</v>
      </c>
      <c r="G408" s="564">
        <v>0</v>
      </c>
      <c r="H408" s="564">
        <v>0</v>
      </c>
      <c r="I408" s="564">
        <v>0</v>
      </c>
      <c r="J408" s="564">
        <v>0</v>
      </c>
      <c r="K408" s="564"/>
      <c r="L408" s="565"/>
      <c r="M408" s="565"/>
      <c r="N408" s="565"/>
      <c r="O408" s="565"/>
      <c r="P408" s="552"/>
    </row>
    <row r="409" spans="1:16" ht="15.75" customHeight="1">
      <c r="A409" s="568" t="s">
        <v>384</v>
      </c>
      <c r="B409" s="567" t="s">
        <v>394</v>
      </c>
      <c r="C409" s="567" t="s">
        <v>395</v>
      </c>
      <c r="D409" s="564">
        <v>4234916</v>
      </c>
      <c r="E409" s="564">
        <v>0</v>
      </c>
      <c r="F409" s="564">
        <v>0</v>
      </c>
      <c r="G409" s="564">
        <v>0</v>
      </c>
      <c r="H409" s="564">
        <v>0</v>
      </c>
      <c r="I409" s="564">
        <v>153100</v>
      </c>
      <c r="J409" s="564">
        <v>15900</v>
      </c>
      <c r="K409" s="564"/>
      <c r="L409" s="565"/>
      <c r="M409" s="565"/>
      <c r="N409" s="565"/>
      <c r="O409" s="565"/>
      <c r="P409" s="552"/>
    </row>
    <row r="410" spans="1:16" ht="15.75" customHeight="1">
      <c r="A410" s="568" t="s">
        <v>384</v>
      </c>
      <c r="B410" s="567" t="s">
        <v>397</v>
      </c>
      <c r="C410" s="567" t="s">
        <v>398</v>
      </c>
      <c r="D410" s="564">
        <v>3392657</v>
      </c>
      <c r="E410" s="564">
        <v>0</v>
      </c>
      <c r="F410" s="564">
        <v>0</v>
      </c>
      <c r="G410" s="564">
        <v>0</v>
      </c>
      <c r="H410" s="564">
        <v>0</v>
      </c>
      <c r="I410" s="564">
        <v>233100</v>
      </c>
      <c r="J410" s="564">
        <v>0</v>
      </c>
      <c r="K410" s="564"/>
      <c r="L410" s="565"/>
      <c r="M410" s="565"/>
      <c r="N410" s="565"/>
      <c r="O410" s="565"/>
      <c r="P410" s="552"/>
    </row>
    <row r="411" spans="1:16" ht="15.75" customHeight="1">
      <c r="A411" s="568" t="s">
        <v>191</v>
      </c>
      <c r="B411" s="567" t="s">
        <v>396</v>
      </c>
      <c r="C411" s="567" t="s">
        <v>486</v>
      </c>
      <c r="D411" s="564">
        <v>3102800</v>
      </c>
      <c r="E411" s="564">
        <v>0</v>
      </c>
      <c r="F411" s="564">
        <v>80750</v>
      </c>
      <c r="G411" s="564">
        <v>0</v>
      </c>
      <c r="H411" s="564">
        <v>0</v>
      </c>
      <c r="I411" s="564">
        <v>264700</v>
      </c>
      <c r="J411" s="564">
        <v>0</v>
      </c>
      <c r="K411" s="564"/>
      <c r="L411" s="565"/>
      <c r="M411" s="565"/>
      <c r="N411" s="565"/>
      <c r="O411" s="565"/>
      <c r="P411" s="552"/>
    </row>
    <row r="412" spans="1:16" ht="15.75" customHeight="1">
      <c r="A412" s="568" t="s">
        <v>384</v>
      </c>
      <c r="B412" s="567" t="s">
        <v>399</v>
      </c>
      <c r="C412" s="567" t="s">
        <v>400</v>
      </c>
      <c r="D412" s="564">
        <v>2999000</v>
      </c>
      <c r="E412" s="564">
        <v>0</v>
      </c>
      <c r="F412" s="564">
        <v>82750</v>
      </c>
      <c r="G412" s="564">
        <v>28000</v>
      </c>
      <c r="H412" s="564">
        <v>0</v>
      </c>
      <c r="I412" s="564">
        <v>251700</v>
      </c>
      <c r="J412" s="564">
        <v>0</v>
      </c>
      <c r="K412" s="564"/>
      <c r="L412" s="565"/>
      <c r="M412" s="565"/>
      <c r="N412" s="565"/>
      <c r="O412" s="565"/>
      <c r="P412" s="552"/>
    </row>
    <row r="413" spans="1:16" ht="15.75" customHeight="1">
      <c r="A413" s="568" t="s">
        <v>384</v>
      </c>
      <c r="B413" s="567" t="s">
        <v>405</v>
      </c>
      <c r="C413" s="567" t="s">
        <v>406</v>
      </c>
      <c r="D413" s="564">
        <v>2584249</v>
      </c>
      <c r="E413" s="564">
        <v>0</v>
      </c>
      <c r="F413" s="564">
        <v>0</v>
      </c>
      <c r="G413" s="564">
        <v>0</v>
      </c>
      <c r="H413" s="564">
        <v>0</v>
      </c>
      <c r="I413" s="564">
        <v>0</v>
      </c>
      <c r="J413" s="564">
        <v>0</v>
      </c>
      <c r="K413" s="564"/>
      <c r="L413" s="565"/>
      <c r="M413" s="565"/>
      <c r="N413" s="565"/>
      <c r="O413" s="565"/>
      <c r="P413" s="552"/>
    </row>
    <row r="414" spans="1:16" ht="15.75" customHeight="1">
      <c r="A414" s="568" t="s">
        <v>384</v>
      </c>
      <c r="B414" s="567" t="s">
        <v>401</v>
      </c>
      <c r="C414" s="567" t="s">
        <v>402</v>
      </c>
      <c r="D414" s="564">
        <v>1882740</v>
      </c>
      <c r="E414" s="564">
        <v>0</v>
      </c>
      <c r="F414" s="564">
        <v>65000</v>
      </c>
      <c r="G414" s="564">
        <v>56000</v>
      </c>
      <c r="H414" s="564">
        <v>0</v>
      </c>
      <c r="I414" s="564">
        <v>84700</v>
      </c>
      <c r="J414" s="564">
        <v>0</v>
      </c>
      <c r="K414" s="564"/>
      <c r="L414" s="565"/>
      <c r="M414" s="565"/>
      <c r="N414" s="565"/>
      <c r="O414" s="565"/>
      <c r="P414" s="552"/>
    </row>
    <row r="415" spans="1:16" ht="15.75" customHeight="1">
      <c r="A415" s="568" t="s">
        <v>191</v>
      </c>
      <c r="B415" s="567" t="s">
        <v>412</v>
      </c>
      <c r="C415" s="567" t="s">
        <v>413</v>
      </c>
      <c r="D415" s="564">
        <v>1123000</v>
      </c>
      <c r="E415" s="564">
        <v>0</v>
      </c>
      <c r="F415" s="564">
        <v>91750</v>
      </c>
      <c r="G415" s="564">
        <v>112000</v>
      </c>
      <c r="H415" s="564">
        <v>0</v>
      </c>
      <c r="I415" s="564">
        <v>23000</v>
      </c>
      <c r="J415" s="564">
        <v>0</v>
      </c>
      <c r="K415" s="564"/>
      <c r="L415" s="565"/>
      <c r="M415" s="565"/>
      <c r="N415" s="565"/>
      <c r="O415" s="565"/>
      <c r="P415" s="552"/>
    </row>
    <row r="416" spans="1:16" ht="15.75" customHeight="1">
      <c r="A416" s="568" t="s">
        <v>191</v>
      </c>
      <c r="B416" s="567" t="s">
        <v>409</v>
      </c>
      <c r="C416" s="567" t="s">
        <v>410</v>
      </c>
      <c r="D416" s="564">
        <v>1000200</v>
      </c>
      <c r="E416" s="564">
        <v>0</v>
      </c>
      <c r="F416" s="564">
        <v>0</v>
      </c>
      <c r="G416" s="564">
        <v>0</v>
      </c>
      <c r="H416" s="564">
        <v>0</v>
      </c>
      <c r="I416" s="564">
        <v>0</v>
      </c>
      <c r="J416" s="564">
        <v>0</v>
      </c>
      <c r="K416" s="564"/>
      <c r="L416" s="565"/>
      <c r="M416" s="565"/>
      <c r="N416" s="565"/>
      <c r="O416" s="565"/>
      <c r="P416" s="552"/>
    </row>
    <row r="417" spans="1:16" ht="15.75" customHeight="1">
      <c r="A417" s="568" t="s">
        <v>191</v>
      </c>
      <c r="B417" s="567" t="s">
        <v>517</v>
      </c>
      <c r="C417" s="567" t="s">
        <v>516</v>
      </c>
      <c r="D417" s="564">
        <v>756000</v>
      </c>
      <c r="E417" s="564">
        <v>0</v>
      </c>
      <c r="F417" s="564">
        <v>0</v>
      </c>
      <c r="G417" s="564">
        <v>0</v>
      </c>
      <c r="H417" s="564">
        <v>0</v>
      </c>
      <c r="I417" s="564">
        <v>7600</v>
      </c>
      <c r="J417" s="564">
        <v>0</v>
      </c>
      <c r="K417" s="564"/>
      <c r="L417" s="565"/>
      <c r="M417" s="565"/>
      <c r="N417" s="565"/>
      <c r="O417" s="565"/>
      <c r="P417" s="552"/>
    </row>
    <row r="418" spans="1:16" ht="15.75" customHeight="1">
      <c r="A418" s="568" t="s">
        <v>191</v>
      </c>
      <c r="B418" s="567" t="s">
        <v>521</v>
      </c>
      <c r="C418" s="567" t="s">
        <v>520</v>
      </c>
      <c r="D418" s="564">
        <v>340000</v>
      </c>
      <c r="E418" s="564">
        <v>0</v>
      </c>
      <c r="F418" s="564">
        <v>0</v>
      </c>
      <c r="G418" s="564">
        <v>364000</v>
      </c>
      <c r="H418" s="564">
        <v>0</v>
      </c>
      <c r="I418" s="564">
        <v>6700</v>
      </c>
      <c r="J418" s="564">
        <v>0</v>
      </c>
      <c r="K418" s="564"/>
      <c r="L418" s="565"/>
      <c r="M418" s="565"/>
      <c r="N418" s="565"/>
      <c r="O418" s="565"/>
      <c r="P418" s="552"/>
    </row>
    <row r="419" spans="1:16" ht="15.75" customHeight="1">
      <c r="A419" s="568" t="s">
        <v>191</v>
      </c>
      <c r="B419" s="567" t="s">
        <v>403</v>
      </c>
      <c r="C419" s="567" t="s">
        <v>404</v>
      </c>
      <c r="D419" s="564">
        <v>620466</v>
      </c>
      <c r="E419" s="564">
        <v>0</v>
      </c>
      <c r="F419" s="564">
        <v>0</v>
      </c>
      <c r="G419" s="564">
        <v>0</v>
      </c>
      <c r="H419" s="564">
        <v>0</v>
      </c>
      <c r="I419" s="564">
        <v>0</v>
      </c>
      <c r="J419" s="564">
        <v>0</v>
      </c>
      <c r="K419" s="564"/>
      <c r="L419" s="565"/>
      <c r="M419" s="565"/>
      <c r="N419" s="565"/>
      <c r="O419" s="565"/>
      <c r="P419" s="552"/>
    </row>
    <row r="420" spans="1:16" ht="15.75" customHeight="1">
      <c r="A420" s="568" t="s">
        <v>191</v>
      </c>
      <c r="B420" s="567" t="s">
        <v>414</v>
      </c>
      <c r="C420" s="567" t="s">
        <v>415</v>
      </c>
      <c r="D420" s="564">
        <v>579200</v>
      </c>
      <c r="E420" s="564">
        <v>0</v>
      </c>
      <c r="F420" s="564">
        <v>0</v>
      </c>
      <c r="G420" s="564">
        <v>0</v>
      </c>
      <c r="H420" s="564">
        <v>0</v>
      </c>
      <c r="I420" s="564">
        <v>0</v>
      </c>
      <c r="J420" s="564">
        <v>0</v>
      </c>
      <c r="K420" s="564"/>
      <c r="L420" s="565"/>
      <c r="M420" s="565"/>
      <c r="N420" s="565"/>
      <c r="O420" s="565"/>
      <c r="P420" s="552"/>
    </row>
    <row r="421" spans="1:16" ht="15.75" customHeight="1">
      <c r="A421" s="568" t="s">
        <v>191</v>
      </c>
      <c r="B421" s="567" t="s">
        <v>471</v>
      </c>
      <c r="C421" s="567" t="s">
        <v>470</v>
      </c>
      <c r="D421" s="564">
        <v>562850</v>
      </c>
      <c r="E421" s="564">
        <v>0</v>
      </c>
      <c r="F421" s="564">
        <v>0</v>
      </c>
      <c r="G421" s="564">
        <v>0</v>
      </c>
      <c r="H421" s="564">
        <v>0</v>
      </c>
      <c r="I421" s="564">
        <v>11200</v>
      </c>
      <c r="J421" s="564">
        <v>0</v>
      </c>
      <c r="K421" s="564"/>
      <c r="L421" s="565"/>
      <c r="M421" s="565"/>
      <c r="N421" s="565"/>
      <c r="O421" s="565"/>
      <c r="P421" s="552"/>
    </row>
    <row r="422" spans="1:16" ht="15.75" customHeight="1">
      <c r="A422" s="568" t="s">
        <v>191</v>
      </c>
      <c r="B422" s="567" t="s">
        <v>488</v>
      </c>
      <c r="C422" s="567" t="s">
        <v>487</v>
      </c>
      <c r="D422" s="564">
        <v>417000</v>
      </c>
      <c r="E422" s="564">
        <v>0</v>
      </c>
      <c r="F422" s="564">
        <v>0</v>
      </c>
      <c r="G422" s="564">
        <v>56000</v>
      </c>
      <c r="H422" s="564">
        <v>0</v>
      </c>
      <c r="I422" s="564">
        <v>14600</v>
      </c>
      <c r="J422" s="564">
        <v>0</v>
      </c>
      <c r="K422" s="564"/>
      <c r="L422" s="565"/>
      <c r="M422" s="565"/>
      <c r="N422" s="565"/>
      <c r="O422" s="565"/>
      <c r="P422" s="552"/>
    </row>
    <row r="423" spans="1:16" ht="15.75" customHeight="1">
      <c r="A423" s="568" t="s">
        <v>191</v>
      </c>
      <c r="B423" s="567" t="s">
        <v>675</v>
      </c>
      <c r="C423" s="567" t="s">
        <v>674</v>
      </c>
      <c r="D423" s="564">
        <v>475000</v>
      </c>
      <c r="E423" s="564">
        <v>0</v>
      </c>
      <c r="F423" s="564">
        <v>0</v>
      </c>
      <c r="G423" s="564">
        <v>0</v>
      </c>
      <c r="H423" s="564">
        <v>0</v>
      </c>
      <c r="I423" s="564">
        <v>0</v>
      </c>
      <c r="J423" s="564">
        <v>0</v>
      </c>
      <c r="K423" s="564"/>
      <c r="L423" s="565"/>
      <c r="M423" s="565"/>
      <c r="N423" s="565"/>
      <c r="O423" s="565"/>
      <c r="P423" s="552"/>
    </row>
    <row r="424" spans="1:16" ht="15.75" customHeight="1">
      <c r="A424" s="568" t="s">
        <v>191</v>
      </c>
      <c r="B424" s="567" t="s">
        <v>429</v>
      </c>
      <c r="C424" s="567" t="s">
        <v>476</v>
      </c>
      <c r="D424" s="564">
        <v>0</v>
      </c>
      <c r="E424" s="564">
        <v>0</v>
      </c>
      <c r="F424" s="564">
        <v>0</v>
      </c>
      <c r="G424" s="564">
        <v>444700</v>
      </c>
      <c r="H424" s="564">
        <v>0</v>
      </c>
      <c r="I424" s="564">
        <v>0</v>
      </c>
      <c r="J424" s="564">
        <v>0</v>
      </c>
      <c r="K424" s="564"/>
      <c r="L424" s="565"/>
      <c r="M424" s="565"/>
      <c r="N424" s="565"/>
      <c r="O424" s="565"/>
      <c r="P424" s="552"/>
    </row>
    <row r="425" spans="1:16" ht="15.75" customHeight="1">
      <c r="A425" s="568" t="s">
        <v>191</v>
      </c>
      <c r="B425" s="567" t="s">
        <v>416</v>
      </c>
      <c r="C425" s="567" t="s">
        <v>417</v>
      </c>
      <c r="D425" s="564">
        <v>417200</v>
      </c>
      <c r="E425" s="564">
        <v>0</v>
      </c>
      <c r="F425" s="564">
        <v>0</v>
      </c>
      <c r="G425" s="564">
        <v>0</v>
      </c>
      <c r="H425" s="564">
        <v>0</v>
      </c>
      <c r="I425" s="564">
        <v>0</v>
      </c>
      <c r="J425" s="564">
        <v>0</v>
      </c>
      <c r="K425" s="564"/>
      <c r="L425" s="565"/>
      <c r="M425" s="565"/>
      <c r="N425" s="565"/>
      <c r="O425" s="565"/>
      <c r="P425" s="552"/>
    </row>
    <row r="426" spans="1:16" ht="15.75" customHeight="1">
      <c r="A426" s="568" t="s">
        <v>191</v>
      </c>
      <c r="B426" s="567" t="s">
        <v>423</v>
      </c>
      <c r="C426" s="567" t="s">
        <v>424</v>
      </c>
      <c r="D426" s="564">
        <v>13000</v>
      </c>
      <c r="E426" s="564">
        <v>0</v>
      </c>
      <c r="F426" s="564">
        <v>65000</v>
      </c>
      <c r="G426" s="564">
        <v>304000</v>
      </c>
      <c r="H426" s="564">
        <v>0</v>
      </c>
      <c r="I426" s="564">
        <v>0</v>
      </c>
      <c r="J426" s="564">
        <v>0</v>
      </c>
      <c r="K426" s="564"/>
      <c r="L426" s="565"/>
      <c r="M426" s="565"/>
      <c r="N426" s="565"/>
      <c r="O426" s="565"/>
      <c r="P426" s="552"/>
    </row>
    <row r="427" spans="1:16" ht="15.75" customHeight="1">
      <c r="A427" s="568" t="s">
        <v>191</v>
      </c>
      <c r="B427" s="567" t="s">
        <v>425</v>
      </c>
      <c r="C427" s="567" t="s">
        <v>426</v>
      </c>
      <c r="D427" s="564">
        <v>0</v>
      </c>
      <c r="E427" s="564">
        <v>115650</v>
      </c>
      <c r="F427" s="564">
        <v>0</v>
      </c>
      <c r="G427" s="564">
        <v>252000</v>
      </c>
      <c r="H427" s="564">
        <v>2200</v>
      </c>
      <c r="I427" s="564">
        <v>0</v>
      </c>
      <c r="J427" s="564">
        <v>0</v>
      </c>
      <c r="K427" s="564"/>
      <c r="L427" s="565"/>
      <c r="M427" s="565"/>
      <c r="N427" s="565"/>
      <c r="O427" s="565"/>
      <c r="P427" s="552"/>
    </row>
    <row r="428" spans="1:16" ht="15.75" customHeight="1">
      <c r="A428" s="568" t="s">
        <v>191</v>
      </c>
      <c r="B428" s="567" t="s">
        <v>519</v>
      </c>
      <c r="C428" s="567" t="s">
        <v>518</v>
      </c>
      <c r="D428" s="564">
        <v>361000</v>
      </c>
      <c r="E428" s="564">
        <v>0</v>
      </c>
      <c r="F428" s="564">
        <v>0</v>
      </c>
      <c r="G428" s="564">
        <v>0</v>
      </c>
      <c r="H428" s="564">
        <v>0</v>
      </c>
      <c r="I428" s="564">
        <v>7100</v>
      </c>
      <c r="J428" s="564">
        <v>0</v>
      </c>
      <c r="K428" s="564"/>
      <c r="L428" s="565"/>
      <c r="M428" s="565"/>
      <c r="N428" s="565"/>
      <c r="O428" s="565"/>
      <c r="P428" s="552"/>
    </row>
    <row r="429" spans="1:16" ht="15.75" customHeight="1">
      <c r="A429" s="568" t="s">
        <v>191</v>
      </c>
      <c r="B429" s="567" t="s">
        <v>490</v>
      </c>
      <c r="C429" s="567" t="s">
        <v>489</v>
      </c>
      <c r="D429" s="564">
        <v>342000</v>
      </c>
      <c r="E429" s="564">
        <v>0</v>
      </c>
      <c r="F429" s="564">
        <v>0</v>
      </c>
      <c r="G429" s="564">
        <v>0</v>
      </c>
      <c r="H429" s="564">
        <v>0</v>
      </c>
      <c r="I429" s="564">
        <v>0</v>
      </c>
      <c r="J429" s="564">
        <v>0</v>
      </c>
      <c r="K429" s="564"/>
      <c r="L429" s="565"/>
      <c r="M429" s="565"/>
      <c r="N429" s="565"/>
      <c r="O429" s="565"/>
      <c r="P429" s="552"/>
    </row>
    <row r="430" spans="1:16" ht="15.75" customHeight="1">
      <c r="A430" s="568" t="s">
        <v>191</v>
      </c>
      <c r="B430" s="567" t="s">
        <v>523</v>
      </c>
      <c r="C430" s="567" t="s">
        <v>522</v>
      </c>
      <c r="D430" s="564">
        <v>0</v>
      </c>
      <c r="E430" s="564">
        <v>0</v>
      </c>
      <c r="F430" s="564">
        <v>0</v>
      </c>
      <c r="G430" s="564">
        <v>335000</v>
      </c>
      <c r="H430" s="564">
        <v>0</v>
      </c>
      <c r="I430" s="564">
        <v>0</v>
      </c>
      <c r="J430" s="564">
        <v>0</v>
      </c>
      <c r="K430" s="564"/>
      <c r="L430" s="565"/>
      <c r="M430" s="565"/>
      <c r="N430" s="565"/>
      <c r="O430" s="565"/>
      <c r="P430" s="552"/>
    </row>
    <row r="431" spans="1:16" ht="15.75" customHeight="1">
      <c r="A431" s="568" t="s">
        <v>191</v>
      </c>
      <c r="B431" s="567" t="s">
        <v>442</v>
      </c>
      <c r="C431" s="567" t="s">
        <v>673</v>
      </c>
      <c r="D431" s="564">
        <v>304000</v>
      </c>
      <c r="E431" s="564">
        <v>0</v>
      </c>
      <c r="F431" s="564">
        <v>0</v>
      </c>
      <c r="G431" s="564">
        <v>0</v>
      </c>
      <c r="H431" s="564">
        <v>0</v>
      </c>
      <c r="I431" s="564">
        <v>0</v>
      </c>
      <c r="J431" s="564">
        <v>0</v>
      </c>
      <c r="K431" s="564"/>
      <c r="L431" s="565"/>
      <c r="M431" s="565"/>
      <c r="N431" s="565"/>
      <c r="O431" s="565"/>
      <c r="P431" s="552"/>
    </row>
    <row r="432" spans="1:16" ht="15.75" customHeight="1">
      <c r="A432" s="568" t="s">
        <v>191</v>
      </c>
      <c r="B432" s="567" t="s">
        <v>473</v>
      </c>
      <c r="C432" s="567" t="s">
        <v>472</v>
      </c>
      <c r="D432" s="564">
        <v>0</v>
      </c>
      <c r="E432" s="564">
        <v>0</v>
      </c>
      <c r="F432" s="564">
        <v>0</v>
      </c>
      <c r="G432" s="564">
        <v>252000</v>
      </c>
      <c r="H432" s="564">
        <v>0</v>
      </c>
      <c r="I432" s="564">
        <v>0</v>
      </c>
      <c r="J432" s="564">
        <v>0</v>
      </c>
      <c r="K432" s="564"/>
      <c r="L432" s="565"/>
      <c r="M432" s="565"/>
      <c r="N432" s="565"/>
      <c r="O432" s="565"/>
      <c r="P432" s="552"/>
    </row>
    <row r="433" spans="1:16" ht="15.75" customHeight="1">
      <c r="A433" s="568" t="s">
        <v>191</v>
      </c>
      <c r="B433" s="567" t="s">
        <v>492</v>
      </c>
      <c r="C433" s="567" t="s">
        <v>491</v>
      </c>
      <c r="D433" s="564">
        <v>0</v>
      </c>
      <c r="E433" s="564">
        <v>0</v>
      </c>
      <c r="F433" s="564">
        <v>0</v>
      </c>
      <c r="G433" s="564">
        <v>168000</v>
      </c>
      <c r="H433" s="564">
        <v>0</v>
      </c>
      <c r="I433" s="564">
        <v>0</v>
      </c>
      <c r="J433" s="564">
        <v>0</v>
      </c>
      <c r="K433" s="564"/>
      <c r="L433" s="565"/>
      <c r="M433" s="565"/>
      <c r="N433" s="565"/>
      <c r="O433" s="565"/>
      <c r="P433" s="552"/>
    </row>
    <row r="434" spans="1:16" ht="15.75" customHeight="1">
      <c r="A434" s="568" t="s">
        <v>191</v>
      </c>
      <c r="B434" s="567" t="s">
        <v>475</v>
      </c>
      <c r="C434" s="567" t="s">
        <v>493</v>
      </c>
      <c r="D434" s="564">
        <v>17000</v>
      </c>
      <c r="E434" s="564">
        <v>0</v>
      </c>
      <c r="F434" s="564">
        <v>0</v>
      </c>
      <c r="G434" s="564">
        <v>140000</v>
      </c>
      <c r="H434" s="564">
        <v>0</v>
      </c>
      <c r="I434" s="564">
        <v>0</v>
      </c>
      <c r="J434" s="564">
        <v>0</v>
      </c>
      <c r="K434" s="564"/>
      <c r="L434" s="565"/>
      <c r="M434" s="565"/>
      <c r="N434" s="565"/>
      <c r="O434" s="565"/>
      <c r="P434" s="552"/>
    </row>
    <row r="435" spans="1:16" ht="15.75" customHeight="1">
      <c r="A435" s="568" t="s">
        <v>191</v>
      </c>
      <c r="B435" s="567" t="s">
        <v>427</v>
      </c>
      <c r="C435" s="567" t="s">
        <v>428</v>
      </c>
      <c r="D435" s="564">
        <v>0</v>
      </c>
      <c r="E435" s="564">
        <v>0</v>
      </c>
      <c r="F435" s="564">
        <v>48000</v>
      </c>
      <c r="G435" s="564">
        <v>106000</v>
      </c>
      <c r="H435" s="564">
        <v>0</v>
      </c>
      <c r="I435" s="564">
        <v>0</v>
      </c>
      <c r="J435" s="564">
        <v>0</v>
      </c>
      <c r="K435" s="564"/>
      <c r="L435" s="565"/>
      <c r="M435" s="565"/>
      <c r="N435" s="565"/>
      <c r="O435" s="565"/>
      <c r="P435" s="552"/>
    </row>
    <row r="436" spans="1:16" ht="15.75" customHeight="1">
      <c r="A436" s="568" t="s">
        <v>191</v>
      </c>
      <c r="B436" s="567" t="s">
        <v>441</v>
      </c>
      <c r="C436" s="567" t="s">
        <v>672</v>
      </c>
      <c r="D436" s="564">
        <v>10000</v>
      </c>
      <c r="E436" s="564">
        <v>0</v>
      </c>
      <c r="F436" s="564">
        <v>0</v>
      </c>
      <c r="G436" s="564">
        <v>140000</v>
      </c>
      <c r="H436" s="564">
        <v>0</v>
      </c>
      <c r="I436" s="564">
        <v>0</v>
      </c>
      <c r="J436" s="564">
        <v>0</v>
      </c>
      <c r="K436" s="564"/>
      <c r="L436" s="565"/>
      <c r="M436" s="565"/>
      <c r="N436" s="565"/>
      <c r="O436" s="565"/>
      <c r="P436" s="552"/>
    </row>
    <row r="437" spans="1:16" ht="15.75" customHeight="1">
      <c r="A437" s="568" t="s">
        <v>191</v>
      </c>
      <c r="B437" s="567" t="s">
        <v>671</v>
      </c>
      <c r="C437" s="567" t="s">
        <v>670</v>
      </c>
      <c r="D437" s="564">
        <v>18000</v>
      </c>
      <c r="E437" s="564">
        <v>0</v>
      </c>
      <c r="F437" s="564">
        <v>0</v>
      </c>
      <c r="G437" s="564">
        <v>84000</v>
      </c>
      <c r="H437" s="564">
        <v>0</v>
      </c>
      <c r="I437" s="564">
        <v>0</v>
      </c>
      <c r="J437" s="564">
        <v>0</v>
      </c>
      <c r="K437" s="564"/>
      <c r="L437" s="565"/>
      <c r="M437" s="565"/>
      <c r="N437" s="565"/>
      <c r="O437" s="565"/>
      <c r="P437" s="552"/>
    </row>
    <row r="438" spans="1:16" ht="15.75" customHeight="1">
      <c r="A438" s="568" t="s">
        <v>191</v>
      </c>
      <c r="B438" s="567" t="s">
        <v>497</v>
      </c>
      <c r="C438" s="567" t="s">
        <v>496</v>
      </c>
      <c r="D438" s="564">
        <v>18000</v>
      </c>
      <c r="E438" s="564">
        <v>0</v>
      </c>
      <c r="F438" s="564">
        <v>82750</v>
      </c>
      <c r="G438" s="564">
        <v>0</v>
      </c>
      <c r="H438" s="564">
        <v>0</v>
      </c>
      <c r="I438" s="564">
        <v>0</v>
      </c>
      <c r="J438" s="564">
        <v>0</v>
      </c>
      <c r="K438" s="564"/>
      <c r="L438" s="565"/>
      <c r="M438" s="565"/>
      <c r="N438" s="565"/>
      <c r="O438" s="565"/>
      <c r="P438" s="552"/>
    </row>
    <row r="439" spans="1:16" ht="15.75" customHeight="1">
      <c r="A439" s="568" t="s">
        <v>191</v>
      </c>
      <c r="B439" s="567" t="s">
        <v>430</v>
      </c>
      <c r="C439" s="567" t="s">
        <v>669</v>
      </c>
      <c r="D439" s="564">
        <v>17000</v>
      </c>
      <c r="E439" s="564">
        <v>0</v>
      </c>
      <c r="F439" s="564">
        <v>80750</v>
      </c>
      <c r="G439" s="564">
        <v>0</v>
      </c>
      <c r="H439" s="564">
        <v>0</v>
      </c>
      <c r="I439" s="564">
        <v>0</v>
      </c>
      <c r="J439" s="564">
        <v>0</v>
      </c>
      <c r="K439" s="564"/>
      <c r="L439" s="565"/>
      <c r="M439" s="565"/>
      <c r="N439" s="565"/>
      <c r="O439" s="565"/>
      <c r="P439" s="552"/>
    </row>
    <row r="440" spans="1:16" ht="15.75" customHeight="1">
      <c r="A440" s="568" t="s">
        <v>191</v>
      </c>
      <c r="B440" s="567" t="s">
        <v>407</v>
      </c>
      <c r="C440" s="567" t="s">
        <v>408</v>
      </c>
      <c r="D440" s="564">
        <v>86700</v>
      </c>
      <c r="E440" s="564">
        <v>0</v>
      </c>
      <c r="F440" s="564">
        <v>0</v>
      </c>
      <c r="G440" s="564">
        <v>0</v>
      </c>
      <c r="H440" s="564">
        <v>0</v>
      </c>
      <c r="I440" s="564">
        <v>1800</v>
      </c>
      <c r="J440" s="564">
        <v>0</v>
      </c>
      <c r="K440" s="564"/>
      <c r="L440" s="565"/>
      <c r="M440" s="565"/>
      <c r="N440" s="565"/>
      <c r="O440" s="565"/>
      <c r="P440" s="552"/>
    </row>
    <row r="441" spans="1:16" ht="15.75" customHeight="1">
      <c r="A441" s="568" t="s">
        <v>191</v>
      </c>
      <c r="B441" s="567" t="s">
        <v>440</v>
      </c>
      <c r="C441" s="567" t="s">
        <v>510</v>
      </c>
      <c r="D441" s="564">
        <v>16000</v>
      </c>
      <c r="E441" s="564">
        <v>0</v>
      </c>
      <c r="F441" s="564">
        <v>71750</v>
      </c>
      <c r="G441" s="564">
        <v>0</v>
      </c>
      <c r="H441" s="564">
        <v>0</v>
      </c>
      <c r="I441" s="564">
        <v>0</v>
      </c>
      <c r="J441" s="564">
        <v>0</v>
      </c>
      <c r="K441" s="564"/>
      <c r="L441" s="565"/>
      <c r="M441" s="565"/>
      <c r="N441" s="565"/>
      <c r="O441" s="565"/>
      <c r="P441" s="552"/>
    </row>
    <row r="442" spans="1:16" ht="15.75" customHeight="1">
      <c r="A442" s="568" t="s">
        <v>191</v>
      </c>
      <c r="B442" s="567" t="s">
        <v>495</v>
      </c>
      <c r="C442" s="567" t="s">
        <v>494</v>
      </c>
      <c r="D442" s="564">
        <v>0</v>
      </c>
      <c r="E442" s="564">
        <v>0</v>
      </c>
      <c r="F442" s="564">
        <v>0</v>
      </c>
      <c r="G442" s="564">
        <v>84000</v>
      </c>
      <c r="H442" s="564">
        <v>0</v>
      </c>
      <c r="I442" s="564">
        <v>0</v>
      </c>
      <c r="J442" s="564">
        <v>0</v>
      </c>
      <c r="K442" s="564"/>
      <c r="L442" s="565"/>
      <c r="M442" s="565"/>
      <c r="N442" s="565"/>
      <c r="O442" s="565"/>
      <c r="P442" s="552"/>
    </row>
    <row r="443" spans="1:16" ht="15.75" customHeight="1">
      <c r="A443" s="568" t="s">
        <v>191</v>
      </c>
      <c r="B443" s="567" t="s">
        <v>503</v>
      </c>
      <c r="C443" s="567" t="s">
        <v>502</v>
      </c>
      <c r="D443" s="564">
        <v>1000</v>
      </c>
      <c r="E443" s="564">
        <v>0</v>
      </c>
      <c r="F443" s="564">
        <v>82750</v>
      </c>
      <c r="G443" s="564">
        <v>0</v>
      </c>
      <c r="H443" s="564">
        <v>0</v>
      </c>
      <c r="I443" s="564">
        <v>0</v>
      </c>
      <c r="J443" s="564">
        <v>0</v>
      </c>
      <c r="K443" s="564"/>
      <c r="L443" s="565"/>
      <c r="M443" s="565"/>
      <c r="N443" s="565"/>
      <c r="O443" s="565"/>
      <c r="P443" s="552"/>
    </row>
    <row r="444" spans="1:16" ht="15.75" customHeight="1">
      <c r="A444" s="568" t="s">
        <v>191</v>
      </c>
      <c r="B444" s="567" t="s">
        <v>499</v>
      </c>
      <c r="C444" s="567" t="s">
        <v>498</v>
      </c>
      <c r="D444" s="564">
        <v>0</v>
      </c>
      <c r="E444" s="564">
        <v>0</v>
      </c>
      <c r="F444" s="564">
        <v>82750</v>
      </c>
      <c r="G444" s="564">
        <v>0</v>
      </c>
      <c r="H444" s="564">
        <v>0</v>
      </c>
      <c r="I444" s="564">
        <v>0</v>
      </c>
      <c r="J444" s="564">
        <v>0</v>
      </c>
      <c r="K444" s="564"/>
      <c r="L444" s="565"/>
      <c r="M444" s="565"/>
      <c r="N444" s="565"/>
      <c r="O444" s="565"/>
      <c r="P444" s="552"/>
    </row>
    <row r="445" spans="1:16" ht="15.75" customHeight="1">
      <c r="A445" s="568" t="s">
        <v>191</v>
      </c>
      <c r="B445" s="567" t="s">
        <v>501</v>
      </c>
      <c r="C445" s="567" t="s">
        <v>500</v>
      </c>
      <c r="D445" s="564">
        <v>0</v>
      </c>
      <c r="E445" s="564">
        <v>0</v>
      </c>
      <c r="F445" s="564">
        <v>82750</v>
      </c>
      <c r="G445" s="564">
        <v>0</v>
      </c>
      <c r="H445" s="564">
        <v>0</v>
      </c>
      <c r="I445" s="564">
        <v>0</v>
      </c>
      <c r="J445" s="564">
        <v>0</v>
      </c>
      <c r="K445" s="564"/>
      <c r="L445" s="565"/>
      <c r="M445" s="565"/>
      <c r="N445" s="565"/>
      <c r="O445" s="565"/>
      <c r="P445" s="552"/>
    </row>
    <row r="446" spans="1:16" ht="15.75" customHeight="1">
      <c r="A446" s="568" t="s">
        <v>191</v>
      </c>
      <c r="B446" s="567" t="s">
        <v>418</v>
      </c>
      <c r="C446" s="567" t="s">
        <v>419</v>
      </c>
      <c r="D446" s="564">
        <v>81800</v>
      </c>
      <c r="E446" s="564">
        <v>0</v>
      </c>
      <c r="F446" s="564">
        <v>0</v>
      </c>
      <c r="G446" s="564">
        <v>0</v>
      </c>
      <c r="H446" s="564">
        <v>0</v>
      </c>
      <c r="I446" s="564">
        <v>0</v>
      </c>
      <c r="J446" s="564">
        <v>0</v>
      </c>
      <c r="K446" s="564"/>
      <c r="L446" s="565"/>
      <c r="M446" s="565"/>
      <c r="N446" s="565"/>
      <c r="O446" s="565"/>
      <c r="P446" s="552"/>
    </row>
    <row r="447" spans="1:16" ht="15.75" customHeight="1">
      <c r="A447" s="568" t="s">
        <v>191</v>
      </c>
      <c r="B447" s="567" t="s">
        <v>505</v>
      </c>
      <c r="C447" s="567" t="s">
        <v>504</v>
      </c>
      <c r="D447" s="564">
        <v>0</v>
      </c>
      <c r="E447" s="564">
        <v>0</v>
      </c>
      <c r="F447" s="564">
        <v>80750</v>
      </c>
      <c r="G447" s="564">
        <v>0</v>
      </c>
      <c r="H447" s="564">
        <v>0</v>
      </c>
      <c r="I447" s="564">
        <v>0</v>
      </c>
      <c r="J447" s="564">
        <v>0</v>
      </c>
      <c r="K447" s="564"/>
      <c r="L447" s="565"/>
      <c r="M447" s="565"/>
      <c r="N447" s="565"/>
      <c r="O447" s="565"/>
      <c r="P447" s="552"/>
    </row>
    <row r="448" spans="1:16" ht="15.75" customHeight="1">
      <c r="A448" s="568" t="s">
        <v>191</v>
      </c>
      <c r="B448" s="567" t="s">
        <v>478</v>
      </c>
      <c r="C448" s="567" t="s">
        <v>477</v>
      </c>
      <c r="D448" s="564">
        <v>18000</v>
      </c>
      <c r="E448" s="564">
        <v>0</v>
      </c>
      <c r="F448" s="564">
        <v>0</v>
      </c>
      <c r="G448" s="564">
        <v>51750</v>
      </c>
      <c r="H448" s="564">
        <v>0</v>
      </c>
      <c r="I448" s="564">
        <v>0</v>
      </c>
      <c r="J448" s="564">
        <v>0</v>
      </c>
      <c r="K448" s="564"/>
      <c r="L448" s="565"/>
      <c r="M448" s="565"/>
      <c r="N448" s="565"/>
      <c r="O448" s="565"/>
      <c r="P448" s="552"/>
    </row>
    <row r="449" spans="1:16" ht="15.75" customHeight="1">
      <c r="A449" s="568" t="s">
        <v>191</v>
      </c>
      <c r="B449" s="567" t="s">
        <v>668</v>
      </c>
      <c r="C449" s="567" t="s">
        <v>667</v>
      </c>
      <c r="D449" s="564">
        <v>0</v>
      </c>
      <c r="E449" s="564">
        <v>0</v>
      </c>
      <c r="F449" s="564">
        <v>0</v>
      </c>
      <c r="G449" s="564">
        <v>56000</v>
      </c>
      <c r="H449" s="564">
        <v>0</v>
      </c>
      <c r="I449" s="564">
        <v>0</v>
      </c>
      <c r="J449" s="564">
        <v>0</v>
      </c>
      <c r="K449" s="564"/>
      <c r="L449" s="565"/>
      <c r="M449" s="565"/>
      <c r="N449" s="565"/>
      <c r="O449" s="565"/>
      <c r="P449" s="552"/>
    </row>
    <row r="450" spans="1:16" ht="15.75" customHeight="1">
      <c r="A450" s="568" t="s">
        <v>191</v>
      </c>
      <c r="B450" s="567" t="s">
        <v>666</v>
      </c>
      <c r="C450" s="567" t="s">
        <v>665</v>
      </c>
      <c r="D450" s="564">
        <v>0</v>
      </c>
      <c r="E450" s="564">
        <v>0</v>
      </c>
      <c r="F450" s="564">
        <v>0</v>
      </c>
      <c r="G450" s="564">
        <v>56000</v>
      </c>
      <c r="H450" s="564">
        <v>0</v>
      </c>
      <c r="I450" s="564">
        <v>0</v>
      </c>
      <c r="J450" s="564">
        <v>0</v>
      </c>
      <c r="K450" s="564"/>
      <c r="L450" s="565"/>
      <c r="M450" s="565"/>
      <c r="N450" s="565"/>
      <c r="O450" s="565"/>
      <c r="P450" s="552"/>
    </row>
    <row r="451" spans="1:16" ht="15.75" customHeight="1">
      <c r="A451" s="568" t="s">
        <v>191</v>
      </c>
      <c r="B451" s="567" t="s">
        <v>664</v>
      </c>
      <c r="C451" s="567" t="s">
        <v>663</v>
      </c>
      <c r="D451" s="564">
        <v>43000</v>
      </c>
      <c r="E451" s="564">
        <v>0</v>
      </c>
      <c r="F451" s="564">
        <v>0</v>
      </c>
      <c r="G451" s="564">
        <v>0</v>
      </c>
      <c r="H451" s="564">
        <v>0</v>
      </c>
      <c r="I451" s="564">
        <v>0</v>
      </c>
      <c r="J451" s="564">
        <v>0</v>
      </c>
      <c r="K451" s="564"/>
      <c r="L451" s="565"/>
      <c r="M451" s="565"/>
      <c r="N451" s="565"/>
      <c r="O451" s="565"/>
      <c r="P451" s="552"/>
    </row>
    <row r="452" spans="1:16" ht="15.75" customHeight="1">
      <c r="A452" s="568" t="s">
        <v>191</v>
      </c>
      <c r="B452" s="567" t="s">
        <v>420</v>
      </c>
      <c r="C452" s="567" t="s">
        <v>421</v>
      </c>
      <c r="D452" s="564">
        <v>8300</v>
      </c>
      <c r="E452" s="564">
        <v>0</v>
      </c>
      <c r="F452" s="564">
        <v>0</v>
      </c>
      <c r="G452" s="564">
        <v>28000</v>
      </c>
      <c r="H452" s="564">
        <v>0</v>
      </c>
      <c r="I452" s="564">
        <v>0</v>
      </c>
      <c r="J452" s="564">
        <v>0</v>
      </c>
      <c r="K452" s="564"/>
      <c r="L452" s="565"/>
      <c r="M452" s="565"/>
      <c r="N452" s="565"/>
      <c r="O452" s="565"/>
      <c r="P452" s="552"/>
    </row>
    <row r="453" spans="1:16" ht="15.75" customHeight="1">
      <c r="A453" s="568" t="s">
        <v>191</v>
      </c>
      <c r="B453" s="567" t="s">
        <v>422</v>
      </c>
      <c r="C453" s="567" t="s">
        <v>524</v>
      </c>
      <c r="D453" s="564">
        <v>1000</v>
      </c>
      <c r="E453" s="564">
        <v>0</v>
      </c>
      <c r="F453" s="564">
        <v>0</v>
      </c>
      <c r="G453" s="564">
        <v>28000</v>
      </c>
      <c r="H453" s="564">
        <v>0</v>
      </c>
      <c r="I453" s="564">
        <v>0</v>
      </c>
      <c r="J453" s="564">
        <v>0</v>
      </c>
      <c r="K453" s="564"/>
      <c r="L453" s="565"/>
      <c r="M453" s="565"/>
      <c r="N453" s="565"/>
      <c r="O453" s="565"/>
      <c r="P453" s="552"/>
    </row>
    <row r="454" spans="1:16" ht="15.75" customHeight="1">
      <c r="A454" s="568" t="s">
        <v>191</v>
      </c>
      <c r="B454" s="567" t="s">
        <v>662</v>
      </c>
      <c r="C454" s="567" t="s">
        <v>661</v>
      </c>
      <c r="D454" s="564">
        <v>0</v>
      </c>
      <c r="E454" s="564">
        <v>0</v>
      </c>
      <c r="F454" s="564">
        <v>0</v>
      </c>
      <c r="G454" s="564">
        <v>28000</v>
      </c>
      <c r="H454" s="564">
        <v>0</v>
      </c>
      <c r="I454" s="564">
        <v>0</v>
      </c>
      <c r="J454" s="564">
        <v>0</v>
      </c>
      <c r="K454" s="564"/>
      <c r="L454" s="565"/>
      <c r="M454" s="565"/>
      <c r="N454" s="565"/>
      <c r="O454" s="565"/>
      <c r="P454" s="552"/>
    </row>
    <row r="455" spans="1:16" ht="15.75" customHeight="1">
      <c r="A455" s="568" t="s">
        <v>191</v>
      </c>
      <c r="B455" s="567" t="s">
        <v>431</v>
      </c>
      <c r="C455" s="567" t="s">
        <v>432</v>
      </c>
      <c r="D455" s="564">
        <v>0</v>
      </c>
      <c r="E455" s="564">
        <v>0</v>
      </c>
      <c r="F455" s="564">
        <v>0</v>
      </c>
      <c r="G455" s="564">
        <v>28000</v>
      </c>
      <c r="H455" s="564">
        <v>0</v>
      </c>
      <c r="I455" s="564">
        <v>0</v>
      </c>
      <c r="J455" s="564">
        <v>0</v>
      </c>
      <c r="K455" s="564"/>
      <c r="L455" s="565"/>
      <c r="M455" s="565"/>
      <c r="N455" s="565"/>
      <c r="O455" s="565"/>
      <c r="P455" s="552"/>
    </row>
    <row r="456" spans="1:16" ht="15.75" customHeight="1">
      <c r="A456" s="568" t="s">
        <v>191</v>
      </c>
      <c r="B456" s="567" t="s">
        <v>525</v>
      </c>
      <c r="C456" s="566" t="s">
        <v>660</v>
      </c>
      <c r="D456" s="564">
        <v>0</v>
      </c>
      <c r="E456" s="564">
        <v>0</v>
      </c>
      <c r="F456" s="564">
        <v>0</v>
      </c>
      <c r="G456" s="564">
        <v>28000</v>
      </c>
      <c r="H456" s="564">
        <v>0</v>
      </c>
      <c r="I456" s="564">
        <v>0</v>
      </c>
      <c r="J456" s="564">
        <v>0</v>
      </c>
      <c r="K456" s="564"/>
      <c r="L456" s="565"/>
      <c r="M456" s="565"/>
      <c r="N456" s="565"/>
      <c r="O456" s="565"/>
      <c r="P456" s="552"/>
    </row>
    <row r="457" spans="1:16" ht="15.75" customHeight="1">
      <c r="A457" s="568" t="s">
        <v>191</v>
      </c>
      <c r="B457" s="567" t="s">
        <v>659</v>
      </c>
      <c r="C457" s="566" t="s">
        <v>658</v>
      </c>
      <c r="D457" s="564">
        <v>23000</v>
      </c>
      <c r="E457" s="564">
        <v>0</v>
      </c>
      <c r="F457" s="564">
        <v>0</v>
      </c>
      <c r="G457" s="564">
        <v>0</v>
      </c>
      <c r="H457" s="564">
        <v>0</v>
      </c>
      <c r="I457" s="564">
        <v>0</v>
      </c>
      <c r="J457" s="564">
        <v>0</v>
      </c>
      <c r="K457" s="564"/>
      <c r="L457" s="565"/>
      <c r="M457" s="565"/>
      <c r="N457" s="565"/>
      <c r="O457" s="565"/>
      <c r="P457" s="552"/>
    </row>
    <row r="458" spans="1:16" ht="15.75" customHeight="1">
      <c r="A458" s="568" t="s">
        <v>191</v>
      </c>
      <c r="B458" s="567" t="s">
        <v>657</v>
      </c>
      <c r="C458" s="566" t="s">
        <v>656</v>
      </c>
      <c r="D458" s="564">
        <v>21000</v>
      </c>
      <c r="E458" s="564">
        <v>0</v>
      </c>
      <c r="F458" s="564">
        <v>0</v>
      </c>
      <c r="G458" s="564">
        <v>0</v>
      </c>
      <c r="H458" s="564">
        <v>0</v>
      </c>
      <c r="I458" s="564">
        <v>0</v>
      </c>
      <c r="J458" s="564">
        <v>0</v>
      </c>
      <c r="K458" s="564"/>
      <c r="L458" s="565"/>
      <c r="M458" s="565"/>
      <c r="N458" s="565"/>
      <c r="O458" s="565"/>
      <c r="P458" s="552"/>
    </row>
    <row r="459" spans="1:16" ht="15.75" customHeight="1">
      <c r="A459" s="568" t="s">
        <v>191</v>
      </c>
      <c r="B459" s="567" t="s">
        <v>655</v>
      </c>
      <c r="C459" s="566" t="s">
        <v>654</v>
      </c>
      <c r="D459" s="564">
        <v>19000</v>
      </c>
      <c r="E459" s="564">
        <v>0</v>
      </c>
      <c r="F459" s="564">
        <v>0</v>
      </c>
      <c r="G459" s="564">
        <v>0</v>
      </c>
      <c r="H459" s="564">
        <v>0</v>
      </c>
      <c r="I459" s="564">
        <v>0</v>
      </c>
      <c r="J459" s="564">
        <v>0</v>
      </c>
      <c r="K459" s="564"/>
      <c r="L459" s="565"/>
      <c r="M459" s="565"/>
      <c r="N459" s="565"/>
      <c r="O459" s="565"/>
      <c r="P459" s="552"/>
    </row>
    <row r="460" spans="1:16" ht="15.75" customHeight="1">
      <c r="A460" s="568" t="s">
        <v>191</v>
      </c>
      <c r="B460" s="567" t="s">
        <v>653</v>
      </c>
      <c r="C460" s="566" t="s">
        <v>652</v>
      </c>
      <c r="D460" s="564">
        <v>19000</v>
      </c>
      <c r="E460" s="564">
        <v>0</v>
      </c>
      <c r="F460" s="564">
        <v>0</v>
      </c>
      <c r="G460" s="564">
        <v>0</v>
      </c>
      <c r="H460" s="564">
        <v>0</v>
      </c>
      <c r="I460" s="564">
        <v>0</v>
      </c>
      <c r="J460" s="564">
        <v>0</v>
      </c>
      <c r="K460" s="564"/>
      <c r="L460" s="565"/>
      <c r="M460" s="565"/>
      <c r="N460" s="565"/>
      <c r="O460" s="565"/>
      <c r="P460" s="552"/>
    </row>
    <row r="461" spans="1:16" ht="15.75" customHeight="1">
      <c r="A461" s="568" t="s">
        <v>191</v>
      </c>
      <c r="B461" s="567" t="s">
        <v>651</v>
      </c>
      <c r="C461" s="566" t="s">
        <v>650</v>
      </c>
      <c r="D461" s="564">
        <v>18000</v>
      </c>
      <c r="E461" s="564">
        <v>0</v>
      </c>
      <c r="F461" s="564">
        <v>0</v>
      </c>
      <c r="G461" s="564">
        <v>0</v>
      </c>
      <c r="H461" s="564">
        <v>0</v>
      </c>
      <c r="I461" s="564">
        <v>0</v>
      </c>
      <c r="J461" s="564">
        <v>0</v>
      </c>
      <c r="K461" s="564"/>
      <c r="L461" s="565"/>
      <c r="M461" s="565"/>
      <c r="N461" s="565"/>
      <c r="O461" s="565"/>
      <c r="P461" s="552"/>
    </row>
    <row r="462" spans="1:16" ht="15.75" customHeight="1">
      <c r="A462" s="568" t="s">
        <v>191</v>
      </c>
      <c r="B462" s="567" t="s">
        <v>509</v>
      </c>
      <c r="C462" s="566" t="s">
        <v>508</v>
      </c>
      <c r="D462" s="564">
        <v>16000</v>
      </c>
      <c r="E462" s="564">
        <v>0</v>
      </c>
      <c r="F462" s="564">
        <v>0</v>
      </c>
      <c r="G462" s="564">
        <v>0</v>
      </c>
      <c r="H462" s="564">
        <v>0</v>
      </c>
      <c r="I462" s="564">
        <v>0</v>
      </c>
      <c r="J462" s="564">
        <v>0</v>
      </c>
      <c r="K462" s="564"/>
      <c r="L462" s="565"/>
      <c r="M462" s="565"/>
      <c r="N462" s="565"/>
      <c r="O462" s="565"/>
      <c r="P462" s="552"/>
    </row>
    <row r="463" spans="1:16" ht="15.75" customHeight="1">
      <c r="A463" s="568" t="s">
        <v>191</v>
      </c>
      <c r="B463" s="567" t="s">
        <v>649</v>
      </c>
      <c r="C463" s="566" t="s">
        <v>648</v>
      </c>
      <c r="D463" s="564">
        <v>15000</v>
      </c>
      <c r="E463" s="564">
        <v>0</v>
      </c>
      <c r="F463" s="564">
        <v>0</v>
      </c>
      <c r="G463" s="564">
        <v>0</v>
      </c>
      <c r="H463" s="564">
        <v>0</v>
      </c>
      <c r="I463" s="564">
        <v>0</v>
      </c>
      <c r="J463" s="564">
        <v>0</v>
      </c>
      <c r="K463" s="564"/>
      <c r="L463" s="565"/>
      <c r="M463" s="565"/>
      <c r="N463" s="565"/>
      <c r="O463" s="565"/>
      <c r="P463" s="552"/>
    </row>
    <row r="464" spans="1:16" ht="15.75" customHeight="1">
      <c r="A464" s="568" t="s">
        <v>191</v>
      </c>
      <c r="B464" s="567" t="s">
        <v>469</v>
      </c>
      <c r="C464" s="566" t="s">
        <v>468</v>
      </c>
      <c r="D464" s="564">
        <v>15000</v>
      </c>
      <c r="E464" s="564">
        <v>0</v>
      </c>
      <c r="F464" s="564">
        <v>0</v>
      </c>
      <c r="G464" s="564">
        <v>0</v>
      </c>
      <c r="H464" s="564">
        <v>0</v>
      </c>
      <c r="I464" s="564">
        <v>0</v>
      </c>
      <c r="J464" s="564">
        <v>0</v>
      </c>
      <c r="K464" s="564"/>
      <c r="L464" s="565"/>
      <c r="M464" s="565"/>
      <c r="N464" s="565"/>
      <c r="O464" s="565"/>
      <c r="P464" s="552"/>
    </row>
    <row r="465" spans="1:16" ht="15.75" customHeight="1">
      <c r="A465" s="568" t="s">
        <v>191</v>
      </c>
      <c r="B465" s="567" t="s">
        <v>647</v>
      </c>
      <c r="C465" s="566" t="s">
        <v>646</v>
      </c>
      <c r="D465" s="564">
        <v>15000</v>
      </c>
      <c r="E465" s="564">
        <v>0</v>
      </c>
      <c r="F465" s="564">
        <v>0</v>
      </c>
      <c r="G465" s="564">
        <v>0</v>
      </c>
      <c r="H465" s="564">
        <v>0</v>
      </c>
      <c r="I465" s="564">
        <v>0</v>
      </c>
      <c r="J465" s="564">
        <v>0</v>
      </c>
      <c r="K465" s="564"/>
      <c r="L465" s="565"/>
      <c r="M465" s="565"/>
      <c r="N465" s="565"/>
      <c r="O465" s="565"/>
      <c r="P465" s="552"/>
    </row>
    <row r="466" spans="1:16" ht="15.75" customHeight="1">
      <c r="A466" s="568" t="s">
        <v>191</v>
      </c>
      <c r="B466" s="567" t="s">
        <v>645</v>
      </c>
      <c r="C466" s="566" t="s">
        <v>644</v>
      </c>
      <c r="D466" s="564">
        <v>14000</v>
      </c>
      <c r="E466" s="564">
        <v>0</v>
      </c>
      <c r="F466" s="564">
        <v>0</v>
      </c>
      <c r="G466" s="564">
        <v>0</v>
      </c>
      <c r="H466" s="564">
        <v>0</v>
      </c>
      <c r="I466" s="564">
        <v>0</v>
      </c>
      <c r="J466" s="564">
        <v>0</v>
      </c>
      <c r="K466" s="564"/>
      <c r="L466" s="565"/>
      <c r="M466" s="565"/>
      <c r="N466" s="565"/>
      <c r="O466" s="565"/>
      <c r="P466" s="552"/>
    </row>
    <row r="467" spans="1:16" ht="15.75" customHeight="1">
      <c r="A467" s="568" t="s">
        <v>191</v>
      </c>
      <c r="B467" s="567" t="s">
        <v>514</v>
      </c>
      <c r="C467" s="566" t="s">
        <v>513</v>
      </c>
      <c r="D467" s="564">
        <v>13000</v>
      </c>
      <c r="E467" s="564">
        <v>0</v>
      </c>
      <c r="F467" s="564">
        <v>0</v>
      </c>
      <c r="G467" s="564">
        <v>0</v>
      </c>
      <c r="H467" s="564">
        <v>0</v>
      </c>
      <c r="I467" s="564">
        <v>0</v>
      </c>
      <c r="J467" s="564">
        <v>0</v>
      </c>
      <c r="K467" s="564"/>
      <c r="L467" s="565"/>
      <c r="M467" s="565"/>
      <c r="N467" s="565"/>
      <c r="O467" s="565"/>
      <c r="P467" s="552"/>
    </row>
    <row r="468" spans="1:16" ht="15.75" customHeight="1">
      <c r="A468" s="568" t="s">
        <v>191</v>
      </c>
      <c r="B468" s="567" t="s">
        <v>643</v>
      </c>
      <c r="C468" s="566" t="s">
        <v>642</v>
      </c>
      <c r="D468" s="564">
        <v>11000</v>
      </c>
      <c r="E468" s="564">
        <v>0</v>
      </c>
      <c r="F468" s="564">
        <v>0</v>
      </c>
      <c r="G468" s="564">
        <v>0</v>
      </c>
      <c r="H468" s="564">
        <v>0</v>
      </c>
      <c r="I468" s="564">
        <v>0</v>
      </c>
      <c r="J468" s="564">
        <v>0</v>
      </c>
      <c r="K468" s="564"/>
      <c r="L468" s="565"/>
      <c r="M468" s="565"/>
      <c r="N468" s="565"/>
      <c r="O468" s="565"/>
      <c r="P468" s="552"/>
    </row>
    <row r="469" spans="1:16" ht="15.75" customHeight="1">
      <c r="A469" s="568" t="s">
        <v>191</v>
      </c>
      <c r="B469" s="567" t="s">
        <v>641</v>
      </c>
      <c r="C469" s="566" t="s">
        <v>640</v>
      </c>
      <c r="D469" s="564">
        <v>11000</v>
      </c>
      <c r="E469" s="564">
        <v>0</v>
      </c>
      <c r="F469" s="564">
        <v>0</v>
      </c>
      <c r="G469" s="564">
        <v>0</v>
      </c>
      <c r="H469" s="564">
        <v>0</v>
      </c>
      <c r="I469" s="564">
        <v>0</v>
      </c>
      <c r="J469" s="564">
        <v>0</v>
      </c>
      <c r="K469" s="564"/>
      <c r="L469" s="565"/>
      <c r="M469" s="565"/>
      <c r="N469" s="565"/>
      <c r="O469" s="565"/>
      <c r="P469" s="552"/>
    </row>
    <row r="470" spans="1:16" ht="15.75" customHeight="1">
      <c r="A470" s="568" t="s">
        <v>191</v>
      </c>
      <c r="B470" s="567" t="s">
        <v>507</v>
      </c>
      <c r="C470" s="566" t="s">
        <v>506</v>
      </c>
      <c r="D470" s="564">
        <v>10600</v>
      </c>
      <c r="E470" s="564">
        <v>0</v>
      </c>
      <c r="F470" s="564">
        <v>0</v>
      </c>
      <c r="G470" s="564">
        <v>0</v>
      </c>
      <c r="H470" s="564">
        <v>0</v>
      </c>
      <c r="I470" s="564">
        <v>0</v>
      </c>
      <c r="J470" s="564">
        <v>0</v>
      </c>
      <c r="K470" s="564"/>
      <c r="L470" s="565"/>
      <c r="M470" s="565"/>
      <c r="N470" s="565"/>
      <c r="O470" s="565"/>
      <c r="P470" s="552"/>
    </row>
    <row r="471" spans="1:16" ht="15.75" customHeight="1">
      <c r="A471" s="568" t="s">
        <v>191</v>
      </c>
      <c r="B471" s="567" t="s">
        <v>639</v>
      </c>
      <c r="C471" s="566" t="s">
        <v>638</v>
      </c>
      <c r="D471" s="564">
        <v>10000</v>
      </c>
      <c r="E471" s="564">
        <v>0</v>
      </c>
      <c r="F471" s="564">
        <v>0</v>
      </c>
      <c r="G471" s="564">
        <v>0</v>
      </c>
      <c r="H471" s="564">
        <v>0</v>
      </c>
      <c r="I471" s="564">
        <v>0</v>
      </c>
      <c r="J471" s="564">
        <v>0</v>
      </c>
      <c r="K471" s="564"/>
      <c r="L471" s="565"/>
      <c r="M471" s="565"/>
      <c r="N471" s="565"/>
      <c r="O471" s="565"/>
      <c r="P471" s="552"/>
    </row>
    <row r="472" spans="1:16" ht="15.75" customHeight="1">
      <c r="A472" s="568" t="s">
        <v>191</v>
      </c>
      <c r="B472" s="567" t="s">
        <v>512</v>
      </c>
      <c r="C472" s="566" t="s">
        <v>511</v>
      </c>
      <c r="D472" s="564">
        <v>0</v>
      </c>
      <c r="E472" s="564">
        <v>0</v>
      </c>
      <c r="F472" s="564">
        <v>3750</v>
      </c>
      <c r="G472" s="564">
        <v>0</v>
      </c>
      <c r="H472" s="564">
        <v>0</v>
      </c>
      <c r="I472" s="564">
        <v>0</v>
      </c>
      <c r="J472" s="564">
        <v>0</v>
      </c>
      <c r="K472" s="564"/>
      <c r="L472" s="565"/>
      <c r="M472" s="565"/>
      <c r="N472" s="565"/>
      <c r="O472" s="565"/>
      <c r="P472" s="552"/>
    </row>
    <row r="473" spans="1:16" ht="15.75" customHeight="1">
      <c r="A473" s="568" t="s">
        <v>191</v>
      </c>
      <c r="B473" s="567" t="s">
        <v>637</v>
      </c>
      <c r="C473" s="566" t="s">
        <v>636</v>
      </c>
      <c r="D473" s="564">
        <v>2000</v>
      </c>
      <c r="E473" s="564">
        <v>0</v>
      </c>
      <c r="F473" s="564">
        <v>0</v>
      </c>
      <c r="G473" s="564">
        <v>0</v>
      </c>
      <c r="H473" s="564">
        <v>0</v>
      </c>
      <c r="I473" s="564">
        <v>0</v>
      </c>
      <c r="J473" s="564">
        <v>0</v>
      </c>
      <c r="K473" s="564"/>
      <c r="L473" s="565"/>
      <c r="M473" s="565"/>
      <c r="N473" s="565"/>
      <c r="O473" s="565"/>
      <c r="P473" s="552"/>
    </row>
    <row r="474" spans="1:16" ht="15.75" customHeight="1">
      <c r="A474" s="568" t="s">
        <v>191</v>
      </c>
      <c r="B474" s="567" t="s">
        <v>411</v>
      </c>
      <c r="C474" s="566" t="s">
        <v>635</v>
      </c>
      <c r="D474" s="564">
        <v>2000</v>
      </c>
      <c r="E474" s="564">
        <v>0</v>
      </c>
      <c r="F474" s="564">
        <v>0</v>
      </c>
      <c r="G474" s="564">
        <v>0</v>
      </c>
      <c r="H474" s="564">
        <v>0</v>
      </c>
      <c r="I474" s="564">
        <v>0</v>
      </c>
      <c r="J474" s="564">
        <v>0</v>
      </c>
      <c r="K474" s="564"/>
      <c r="L474" s="565"/>
      <c r="M474" s="565"/>
      <c r="N474" s="565"/>
      <c r="O474" s="565"/>
      <c r="P474" s="552"/>
    </row>
    <row r="475" spans="1:16" ht="15.75" customHeight="1">
      <c r="A475" s="568" t="s">
        <v>191</v>
      </c>
      <c r="B475" s="567" t="s">
        <v>474</v>
      </c>
      <c r="C475" s="566" t="s">
        <v>634</v>
      </c>
      <c r="D475" s="564">
        <v>0</v>
      </c>
      <c r="E475" s="564">
        <v>0</v>
      </c>
      <c r="F475" s="564">
        <v>0</v>
      </c>
      <c r="G475" s="564">
        <v>0</v>
      </c>
      <c r="H475" s="564">
        <v>0</v>
      </c>
      <c r="I475" s="564">
        <v>0</v>
      </c>
      <c r="J475" s="564">
        <v>5000</v>
      </c>
      <c r="K475" s="564"/>
      <c r="L475" s="565"/>
      <c r="M475" s="565"/>
      <c r="N475" s="565"/>
      <c r="O475" s="565"/>
      <c r="P475" s="552"/>
    </row>
    <row r="476" spans="1:16" ht="15.75" customHeight="1">
      <c r="A476" s="568" t="s">
        <v>191</v>
      </c>
      <c r="B476" s="567" t="s">
        <v>633</v>
      </c>
      <c r="C476" s="566" t="s">
        <v>632</v>
      </c>
      <c r="D476" s="564">
        <v>1000</v>
      </c>
      <c r="E476" s="564">
        <v>0</v>
      </c>
      <c r="F476" s="564">
        <v>0</v>
      </c>
      <c r="G476" s="564">
        <v>0</v>
      </c>
      <c r="H476" s="564">
        <v>0</v>
      </c>
      <c r="I476" s="564">
        <v>0</v>
      </c>
      <c r="J476" s="564">
        <v>0</v>
      </c>
      <c r="K476" s="564"/>
      <c r="L476" s="565"/>
      <c r="M476" s="565"/>
      <c r="N476" s="565"/>
      <c r="O476" s="565"/>
      <c r="P476" s="552"/>
    </row>
    <row r="477" spans="1:16" ht="15.75" customHeight="1">
      <c r="A477" s="568" t="s">
        <v>191</v>
      </c>
      <c r="B477" s="567" t="s">
        <v>631</v>
      </c>
      <c r="C477" s="566" t="s">
        <v>630</v>
      </c>
      <c r="D477" s="564">
        <v>1000</v>
      </c>
      <c r="E477" s="564">
        <v>0</v>
      </c>
      <c r="F477" s="564">
        <v>0</v>
      </c>
      <c r="G477" s="564">
        <v>0</v>
      </c>
      <c r="H477" s="564">
        <v>0</v>
      </c>
      <c r="I477" s="564">
        <v>0</v>
      </c>
      <c r="J477" s="564">
        <v>0</v>
      </c>
      <c r="K477" s="564"/>
      <c r="L477" s="565"/>
      <c r="M477" s="565"/>
      <c r="N477" s="565"/>
      <c r="O477" s="565"/>
      <c r="P477" s="552"/>
    </row>
    <row r="478" spans="1:16" ht="15.75" customHeight="1">
      <c r="A478" s="568" t="s">
        <v>191</v>
      </c>
      <c r="B478" s="567" t="s">
        <v>629</v>
      </c>
      <c r="C478" s="566" t="s">
        <v>628</v>
      </c>
      <c r="D478" s="564">
        <v>23400</v>
      </c>
      <c r="E478" s="564">
        <v>0</v>
      </c>
      <c r="F478" s="564">
        <v>0</v>
      </c>
      <c r="G478" s="564">
        <v>0</v>
      </c>
      <c r="H478" s="564">
        <v>0</v>
      </c>
      <c r="I478" s="564">
        <v>0</v>
      </c>
      <c r="J478" s="564">
        <v>0</v>
      </c>
      <c r="K478" s="564"/>
      <c r="L478" s="565"/>
      <c r="M478" s="565"/>
      <c r="N478" s="565"/>
      <c r="O478" s="565"/>
      <c r="P478" s="552"/>
    </row>
    <row r="479" spans="1:16" ht="15.75" customHeight="1">
      <c r="A479" s="568" t="s">
        <v>191</v>
      </c>
      <c r="B479" s="567" t="s">
        <v>627</v>
      </c>
      <c r="C479" s="566" t="s">
        <v>626</v>
      </c>
      <c r="D479" s="564">
        <v>1000</v>
      </c>
      <c r="E479" s="564">
        <v>0</v>
      </c>
      <c r="F479" s="564">
        <v>0</v>
      </c>
      <c r="G479" s="564">
        <v>0</v>
      </c>
      <c r="H479" s="564">
        <v>0</v>
      </c>
      <c r="I479" s="564">
        <v>0</v>
      </c>
      <c r="J479" s="564">
        <v>0</v>
      </c>
      <c r="K479" s="564"/>
      <c r="L479" s="565"/>
      <c r="M479" s="565"/>
      <c r="N479" s="565"/>
      <c r="O479" s="565"/>
      <c r="P479" s="552"/>
    </row>
    <row r="480" spans="1:16" ht="15.75" customHeight="1">
      <c r="A480" s="568" t="s">
        <v>191</v>
      </c>
      <c r="B480" s="567" t="s">
        <v>625</v>
      </c>
      <c r="C480" s="566" t="s">
        <v>624</v>
      </c>
      <c r="D480" s="564">
        <v>0</v>
      </c>
      <c r="E480" s="564">
        <v>0</v>
      </c>
      <c r="F480" s="564">
        <v>0</v>
      </c>
      <c r="G480" s="564">
        <v>28000</v>
      </c>
      <c r="H480" s="564">
        <v>0</v>
      </c>
      <c r="I480" s="564">
        <v>0</v>
      </c>
      <c r="J480" s="564">
        <v>0</v>
      </c>
      <c r="K480" s="564"/>
      <c r="L480" s="565"/>
      <c r="M480" s="565"/>
      <c r="N480" s="565"/>
      <c r="O480" s="565"/>
      <c r="P480" s="552"/>
    </row>
    <row r="481" spans="1:16" ht="15.75" customHeight="1">
      <c r="A481" s="568"/>
      <c r="B481" s="567"/>
      <c r="C481" s="579" t="s">
        <v>433</v>
      </c>
      <c r="D481" s="569">
        <f t="shared" ref="D481:J481" si="12">SUM(D404:D480)</f>
        <v>79397959</v>
      </c>
      <c r="E481" s="569">
        <f t="shared" si="12"/>
        <v>3610200</v>
      </c>
      <c r="F481" s="569">
        <f t="shared" si="12"/>
        <v>1867100</v>
      </c>
      <c r="G481" s="569">
        <f t="shared" si="12"/>
        <v>3978450</v>
      </c>
      <c r="H481" s="569">
        <f t="shared" si="12"/>
        <v>991000</v>
      </c>
      <c r="I481" s="569">
        <f t="shared" si="12"/>
        <v>25085800</v>
      </c>
      <c r="J481" s="569">
        <f t="shared" si="12"/>
        <v>315100</v>
      </c>
      <c r="K481" s="569"/>
      <c r="L481" s="565"/>
      <c r="M481" s="565"/>
      <c r="N481" s="565"/>
      <c r="O481" s="565"/>
      <c r="P481" s="552"/>
    </row>
    <row r="482" spans="1:16" ht="15.75" customHeight="1">
      <c r="A482" s="568"/>
      <c r="B482" s="567"/>
      <c r="C482" s="566"/>
      <c r="D482" s="564"/>
      <c r="E482" s="564"/>
      <c r="F482" s="564"/>
      <c r="G482" s="564"/>
      <c r="H482" s="564"/>
      <c r="I482" s="564"/>
      <c r="J482" s="564"/>
      <c r="K482" s="564"/>
      <c r="L482" s="565"/>
      <c r="M482" s="565"/>
      <c r="N482" s="565"/>
      <c r="O482" s="565"/>
      <c r="P482" s="552"/>
    </row>
    <row r="483" spans="1:16" ht="15.75" customHeight="1">
      <c r="A483" s="568"/>
      <c r="B483" s="567"/>
      <c r="C483" s="566"/>
      <c r="D483" s="564"/>
      <c r="E483" s="564"/>
      <c r="F483" s="564"/>
      <c r="G483" s="564"/>
      <c r="H483" s="564"/>
      <c r="I483" s="564"/>
      <c r="J483" s="564"/>
      <c r="K483" s="564"/>
      <c r="L483" s="565"/>
      <c r="M483" s="565"/>
      <c r="N483" s="565"/>
      <c r="O483" s="565"/>
      <c r="P483" s="552"/>
    </row>
    <row r="484" spans="1:16" ht="15.75" customHeight="1">
      <c r="A484" s="568"/>
      <c r="B484" s="567"/>
      <c r="C484" s="566"/>
      <c r="D484" s="564"/>
      <c r="E484" s="564"/>
      <c r="F484" s="564"/>
      <c r="G484" s="564"/>
      <c r="H484" s="564"/>
      <c r="I484" s="564"/>
      <c r="J484" s="564"/>
      <c r="K484" s="564"/>
      <c r="L484" s="565"/>
      <c r="M484" s="565"/>
      <c r="N484" s="565"/>
      <c r="O484" s="565"/>
      <c r="P484" s="552"/>
    </row>
    <row r="485" spans="1:16" ht="15.75" customHeight="1">
      <c r="A485" s="568"/>
      <c r="B485" s="567"/>
      <c r="C485" s="566"/>
      <c r="D485" s="564"/>
      <c r="E485" s="564"/>
      <c r="F485" s="564"/>
      <c r="G485" s="564"/>
      <c r="H485" s="564"/>
      <c r="I485" s="564"/>
      <c r="J485" s="564"/>
      <c r="K485" s="564"/>
      <c r="L485" s="565"/>
      <c r="M485" s="565"/>
      <c r="N485" s="565"/>
      <c r="O485" s="565"/>
      <c r="P485" s="552"/>
    </row>
    <row r="486" spans="1:16" ht="15.75" customHeight="1">
      <c r="A486" s="568"/>
      <c r="B486" s="567"/>
      <c r="C486" s="566"/>
      <c r="D486" s="564"/>
      <c r="E486" s="564"/>
      <c r="F486" s="564"/>
      <c r="G486" s="564"/>
      <c r="H486" s="564"/>
      <c r="I486" s="564"/>
      <c r="J486" s="564"/>
      <c r="K486" s="564"/>
      <c r="L486" s="565"/>
      <c r="M486" s="565"/>
      <c r="N486" s="565"/>
      <c r="O486" s="565"/>
      <c r="P486" s="552"/>
    </row>
    <row r="487" spans="1:16" ht="15.75" customHeight="1">
      <c r="A487" s="568"/>
      <c r="B487" s="567"/>
      <c r="C487" s="566"/>
      <c r="D487" s="564"/>
      <c r="E487" s="564"/>
      <c r="F487" s="564"/>
      <c r="G487" s="564"/>
      <c r="H487" s="564"/>
      <c r="I487" s="564"/>
      <c r="J487" s="564"/>
      <c r="K487" s="564"/>
      <c r="L487" s="565"/>
      <c r="M487" s="565"/>
      <c r="N487" s="565"/>
      <c r="O487" s="565"/>
      <c r="P487" s="552"/>
    </row>
    <row r="488" spans="1:16" ht="15.75" customHeight="1">
      <c r="A488" s="568"/>
      <c r="B488" s="567"/>
      <c r="C488" s="566"/>
      <c r="D488" s="564"/>
      <c r="E488" s="564"/>
      <c r="F488" s="564"/>
      <c r="G488" s="564"/>
      <c r="H488" s="564"/>
      <c r="I488" s="564"/>
      <c r="J488" s="564"/>
      <c r="K488" s="564"/>
      <c r="L488" s="565"/>
      <c r="M488" s="565"/>
      <c r="N488" s="565"/>
      <c r="O488" s="565"/>
      <c r="P488" s="552"/>
    </row>
    <row r="489" spans="1:16" ht="15.75" customHeight="1">
      <c r="A489" s="568"/>
      <c r="B489" s="567"/>
      <c r="C489" s="566"/>
      <c r="D489" s="564"/>
      <c r="E489" s="564"/>
      <c r="F489" s="564"/>
      <c r="G489" s="564"/>
      <c r="H489" s="564"/>
      <c r="I489" s="564"/>
      <c r="J489" s="564"/>
      <c r="K489" s="564"/>
      <c r="L489" s="565"/>
      <c r="M489" s="565"/>
      <c r="N489" s="565"/>
      <c r="O489" s="565"/>
      <c r="P489" s="552"/>
    </row>
    <row r="490" spans="1:16" ht="15.75" customHeight="1">
      <c r="A490" s="568"/>
      <c r="B490" s="567"/>
      <c r="C490" s="566"/>
      <c r="D490" s="564"/>
      <c r="E490" s="564"/>
      <c r="F490" s="564"/>
      <c r="G490" s="564"/>
      <c r="H490" s="564"/>
      <c r="I490" s="564"/>
      <c r="J490" s="564"/>
      <c r="K490" s="564"/>
      <c r="L490" s="565"/>
      <c r="M490" s="565"/>
      <c r="N490" s="565"/>
      <c r="O490" s="565"/>
      <c r="P490" s="552"/>
    </row>
    <row r="491" spans="1:16" ht="15.75" customHeight="1">
      <c r="A491" s="568"/>
      <c r="B491" s="567"/>
      <c r="C491" s="566"/>
      <c r="D491" s="564"/>
      <c r="E491" s="564"/>
      <c r="F491" s="564"/>
      <c r="G491" s="564"/>
      <c r="H491" s="564"/>
      <c r="I491" s="564"/>
      <c r="J491" s="564"/>
      <c r="K491" s="564"/>
      <c r="L491" s="565"/>
      <c r="M491" s="565"/>
      <c r="N491" s="565"/>
      <c r="O491" s="565"/>
      <c r="P491" s="552"/>
    </row>
    <row r="492" spans="1:16" ht="15.75" customHeight="1">
      <c r="A492" s="568"/>
      <c r="B492" s="567"/>
      <c r="C492" s="566"/>
      <c r="D492" s="564"/>
      <c r="E492" s="564"/>
      <c r="F492" s="564"/>
      <c r="G492" s="564"/>
      <c r="H492" s="564"/>
      <c r="I492" s="564"/>
      <c r="J492" s="564"/>
      <c r="K492" s="564"/>
      <c r="L492" s="565"/>
      <c r="M492" s="565"/>
      <c r="N492" s="565"/>
      <c r="O492" s="565"/>
      <c r="P492" s="552"/>
    </row>
    <row r="493" spans="1:16" ht="15.75" customHeight="1">
      <c r="A493" s="568"/>
      <c r="B493" s="567"/>
      <c r="C493" s="566"/>
      <c r="D493" s="564"/>
      <c r="E493" s="564"/>
      <c r="F493" s="564"/>
      <c r="G493" s="564"/>
      <c r="H493" s="564"/>
      <c r="I493" s="564"/>
      <c r="J493" s="564"/>
      <c r="K493" s="564"/>
      <c r="L493" s="565"/>
      <c r="M493" s="565"/>
      <c r="N493" s="565"/>
      <c r="O493" s="565"/>
      <c r="P493" s="552"/>
    </row>
    <row r="494" spans="1:16" ht="15.75" customHeight="1">
      <c r="A494" s="568"/>
      <c r="B494" s="567"/>
      <c r="C494" s="566"/>
      <c r="D494" s="564"/>
      <c r="E494" s="564"/>
      <c r="F494" s="564"/>
      <c r="G494" s="564"/>
      <c r="H494" s="564"/>
      <c r="I494" s="564"/>
      <c r="J494" s="564"/>
      <c r="K494" s="564"/>
      <c r="L494" s="565"/>
      <c r="M494" s="565"/>
      <c r="N494" s="565"/>
      <c r="O494" s="565"/>
      <c r="P494" s="552"/>
    </row>
    <row r="495" spans="1:16" ht="15.75" customHeight="1">
      <c r="A495" s="568"/>
      <c r="B495" s="567"/>
      <c r="C495" s="566"/>
      <c r="D495" s="564"/>
      <c r="E495" s="564"/>
      <c r="F495" s="564"/>
      <c r="G495" s="564"/>
      <c r="H495" s="564"/>
      <c r="I495" s="564"/>
      <c r="J495" s="564"/>
      <c r="K495" s="564"/>
      <c r="L495" s="565"/>
      <c r="M495" s="565"/>
      <c r="N495" s="565"/>
      <c r="O495" s="565"/>
      <c r="P495" s="552"/>
    </row>
    <row r="496" spans="1:16" ht="15.75" customHeight="1">
      <c r="A496" s="568"/>
      <c r="B496" s="567"/>
      <c r="C496" s="566"/>
      <c r="D496" s="564"/>
      <c r="E496" s="564"/>
      <c r="F496" s="564"/>
      <c r="G496" s="564"/>
      <c r="H496" s="564"/>
      <c r="I496" s="564"/>
      <c r="J496" s="564"/>
      <c r="K496" s="564"/>
      <c r="L496" s="565"/>
      <c r="M496" s="565"/>
      <c r="N496" s="565"/>
      <c r="O496" s="565"/>
      <c r="P496" s="552"/>
    </row>
    <row r="497" spans="1:16" ht="15.75" customHeight="1">
      <c r="A497" s="568"/>
      <c r="B497" s="567"/>
      <c r="C497" s="566"/>
      <c r="D497" s="564"/>
      <c r="E497" s="564"/>
      <c r="F497" s="564"/>
      <c r="G497" s="564"/>
      <c r="H497" s="564"/>
      <c r="I497" s="564"/>
      <c r="J497" s="564"/>
      <c r="K497" s="564"/>
      <c r="L497" s="565"/>
      <c r="M497" s="565"/>
      <c r="N497" s="565"/>
      <c r="O497" s="565"/>
      <c r="P497" s="552"/>
    </row>
    <row r="498" spans="1:16" ht="15.75" customHeight="1">
      <c r="A498" s="568"/>
      <c r="B498" s="567"/>
      <c r="C498" s="566"/>
      <c r="D498" s="564"/>
      <c r="E498" s="564"/>
      <c r="F498" s="564"/>
      <c r="G498" s="564"/>
      <c r="H498" s="564"/>
      <c r="I498" s="564"/>
      <c r="J498" s="564"/>
      <c r="K498" s="564"/>
      <c r="L498" s="565"/>
      <c r="M498" s="565"/>
      <c r="N498" s="565"/>
      <c r="O498" s="565"/>
      <c r="P498" s="552"/>
    </row>
    <row r="499" spans="1:16" ht="15.75" customHeight="1">
      <c r="A499" s="568"/>
      <c r="B499" s="567"/>
      <c r="C499" s="566"/>
      <c r="D499" s="564"/>
      <c r="E499" s="564"/>
      <c r="F499" s="564"/>
      <c r="G499" s="564"/>
      <c r="H499" s="564"/>
      <c r="I499" s="564"/>
      <c r="J499" s="564"/>
      <c r="K499" s="564"/>
      <c r="L499" s="565"/>
      <c r="M499" s="565"/>
      <c r="N499" s="565"/>
      <c r="O499" s="565"/>
      <c r="P499" s="552"/>
    </row>
    <row r="500" spans="1:16" ht="15.75" customHeight="1">
      <c r="A500" s="568"/>
      <c r="B500" s="567"/>
      <c r="C500" s="566"/>
      <c r="D500" s="564"/>
      <c r="E500" s="564"/>
      <c r="F500" s="564"/>
      <c r="G500" s="564"/>
      <c r="H500" s="564"/>
      <c r="I500" s="564"/>
      <c r="J500" s="564"/>
      <c r="K500" s="564"/>
      <c r="L500" s="565"/>
      <c r="M500" s="565"/>
      <c r="N500" s="565"/>
      <c r="O500" s="565"/>
      <c r="P500" s="552"/>
    </row>
    <row r="501" spans="1:16" ht="15.75" customHeight="1">
      <c r="A501" s="568"/>
      <c r="B501" s="567"/>
      <c r="C501" s="566"/>
      <c r="D501" s="564"/>
      <c r="E501" s="564"/>
      <c r="F501" s="564"/>
      <c r="G501" s="564"/>
      <c r="H501" s="564"/>
      <c r="I501" s="564"/>
      <c r="J501" s="564"/>
      <c r="K501" s="564"/>
      <c r="L501" s="565"/>
      <c r="M501" s="565"/>
      <c r="N501" s="565"/>
      <c r="O501" s="565"/>
      <c r="P501" s="552"/>
    </row>
    <row r="502" spans="1:16" ht="15.75" customHeight="1">
      <c r="A502" s="568"/>
      <c r="B502" s="567"/>
      <c r="C502" s="566"/>
      <c r="D502" s="564"/>
      <c r="E502" s="564"/>
      <c r="F502" s="564"/>
      <c r="G502" s="564"/>
      <c r="H502" s="564"/>
      <c r="I502" s="564"/>
      <c r="J502" s="564"/>
      <c r="K502" s="564"/>
      <c r="L502" s="565"/>
      <c r="M502" s="565"/>
      <c r="N502" s="565"/>
      <c r="O502" s="565"/>
      <c r="P502" s="552"/>
    </row>
    <row r="503" spans="1:16" ht="15.75" customHeight="1">
      <c r="A503" s="568"/>
      <c r="B503" s="567"/>
      <c r="C503" s="566"/>
      <c r="D503" s="564"/>
      <c r="E503" s="564"/>
      <c r="F503" s="564"/>
      <c r="G503" s="564"/>
      <c r="H503" s="564"/>
      <c r="I503" s="564"/>
      <c r="J503" s="564"/>
      <c r="K503" s="564"/>
      <c r="L503" s="565"/>
      <c r="M503" s="565"/>
      <c r="N503" s="565"/>
      <c r="O503" s="565"/>
      <c r="P503" s="552"/>
    </row>
    <row r="504" spans="1:16" ht="15.75" customHeight="1">
      <c r="A504" s="568"/>
      <c r="B504" s="567"/>
      <c r="C504" s="566"/>
      <c r="D504" s="564"/>
      <c r="E504" s="564"/>
      <c r="F504" s="564"/>
      <c r="G504" s="564"/>
      <c r="H504" s="564"/>
      <c r="I504" s="564"/>
      <c r="J504" s="564"/>
      <c r="K504" s="564"/>
      <c r="L504" s="565"/>
      <c r="M504" s="565"/>
      <c r="N504" s="565"/>
      <c r="O504" s="565"/>
      <c r="P504" s="552"/>
    </row>
    <row r="505" spans="1:16" ht="15.75" customHeight="1">
      <c r="A505" s="568"/>
      <c r="B505" s="567"/>
      <c r="C505" s="566"/>
      <c r="D505" s="564"/>
      <c r="E505" s="564"/>
      <c r="F505" s="564"/>
      <c r="G505" s="564"/>
      <c r="H505" s="564"/>
      <c r="I505" s="564"/>
      <c r="J505" s="564"/>
      <c r="K505" s="564"/>
      <c r="L505" s="565"/>
      <c r="M505" s="565"/>
      <c r="N505" s="565"/>
      <c r="O505" s="565"/>
      <c r="P505" s="552"/>
    </row>
    <row r="506" spans="1:16" ht="15.75" customHeight="1">
      <c r="A506" s="568"/>
      <c r="B506" s="567"/>
      <c r="C506" s="566"/>
      <c r="D506" s="564"/>
      <c r="E506" s="564"/>
      <c r="F506" s="564"/>
      <c r="G506" s="564"/>
      <c r="H506" s="564"/>
      <c r="I506" s="564"/>
      <c r="J506" s="564"/>
      <c r="K506" s="564"/>
      <c r="L506" s="565"/>
      <c r="M506" s="565"/>
      <c r="N506" s="565"/>
      <c r="O506" s="565"/>
      <c r="P506" s="552"/>
    </row>
    <row r="507" spans="1:16" ht="15.75" customHeight="1">
      <c r="A507" s="568"/>
      <c r="B507" s="567"/>
      <c r="C507" s="566"/>
      <c r="D507" s="564"/>
      <c r="E507" s="564"/>
      <c r="F507" s="564"/>
      <c r="G507" s="564"/>
      <c r="H507" s="564"/>
      <c r="I507" s="564"/>
      <c r="J507" s="564"/>
      <c r="K507" s="564"/>
      <c r="L507" s="565"/>
      <c r="M507" s="565"/>
      <c r="N507" s="565"/>
      <c r="O507" s="565"/>
      <c r="P507" s="552"/>
    </row>
    <row r="508" spans="1:16" ht="15.75" customHeight="1">
      <c r="A508" s="568"/>
      <c r="B508" s="567"/>
      <c r="C508" s="566"/>
      <c r="D508" s="564"/>
      <c r="E508" s="564"/>
      <c r="F508" s="564"/>
      <c r="G508" s="564"/>
      <c r="H508" s="564"/>
      <c r="I508" s="564"/>
      <c r="J508" s="564"/>
      <c r="K508" s="564"/>
      <c r="L508" s="565"/>
      <c r="M508" s="565"/>
      <c r="N508" s="565"/>
      <c r="O508" s="565"/>
      <c r="P508" s="552"/>
    </row>
    <row r="509" spans="1:16" ht="15.75" customHeight="1">
      <c r="A509" s="568"/>
      <c r="B509" s="567"/>
      <c r="C509" s="566"/>
      <c r="D509" s="564"/>
      <c r="E509" s="564"/>
      <c r="F509" s="564"/>
      <c r="G509" s="564"/>
      <c r="H509" s="564"/>
      <c r="I509" s="564"/>
      <c r="J509" s="564"/>
      <c r="K509" s="564"/>
      <c r="L509" s="565"/>
      <c r="M509" s="565"/>
      <c r="N509" s="565"/>
      <c r="O509" s="565"/>
      <c r="P509" s="552"/>
    </row>
    <row r="510" spans="1:16" ht="15.75" customHeight="1">
      <c r="A510" s="568"/>
      <c r="B510" s="567"/>
      <c r="C510" s="566"/>
      <c r="D510" s="564"/>
      <c r="E510" s="564"/>
      <c r="F510" s="564"/>
      <c r="G510" s="564"/>
      <c r="H510" s="564"/>
      <c r="I510" s="564"/>
      <c r="J510" s="564"/>
      <c r="K510" s="564"/>
      <c r="L510" s="565"/>
      <c r="M510" s="565"/>
      <c r="N510" s="565"/>
      <c r="O510" s="565"/>
      <c r="P510" s="552"/>
    </row>
    <row r="511" spans="1:16" ht="15.75" customHeight="1">
      <c r="A511" s="568"/>
      <c r="B511" s="567"/>
      <c r="C511" s="566"/>
      <c r="D511" s="564"/>
      <c r="E511" s="564"/>
      <c r="F511" s="564"/>
      <c r="G511" s="564"/>
      <c r="H511" s="564"/>
      <c r="I511" s="564"/>
      <c r="J511" s="564"/>
      <c r="K511" s="564"/>
      <c r="L511" s="565"/>
      <c r="M511" s="565"/>
      <c r="N511" s="565"/>
      <c r="O511" s="565"/>
      <c r="P511" s="552"/>
    </row>
    <row r="512" spans="1:16" ht="15.75" customHeight="1">
      <c r="A512" s="568"/>
      <c r="B512" s="567"/>
      <c r="C512" s="566"/>
      <c r="D512" s="564"/>
      <c r="E512" s="564"/>
      <c r="F512" s="564"/>
      <c r="G512" s="564"/>
      <c r="H512" s="564"/>
      <c r="I512" s="564"/>
      <c r="J512" s="564"/>
      <c r="K512" s="564"/>
      <c r="L512" s="565"/>
      <c r="M512" s="565"/>
      <c r="N512" s="565"/>
      <c r="O512" s="565"/>
      <c r="P512" s="552"/>
    </row>
    <row r="513" spans="1:16" ht="15.75" customHeight="1">
      <c r="A513" s="568"/>
      <c r="B513" s="567"/>
      <c r="C513" s="566"/>
      <c r="D513" s="564"/>
      <c r="E513" s="564"/>
      <c r="F513" s="564"/>
      <c r="G513" s="564"/>
      <c r="H513" s="564"/>
      <c r="I513" s="564"/>
      <c r="J513" s="564"/>
      <c r="K513" s="564"/>
      <c r="L513" s="565"/>
      <c r="M513" s="565"/>
      <c r="N513" s="565"/>
      <c r="O513" s="565"/>
      <c r="P513" s="552"/>
    </row>
    <row r="514" spans="1:16" ht="15.75" customHeight="1">
      <c r="A514" s="568"/>
      <c r="B514" s="567"/>
      <c r="C514" s="566"/>
      <c r="D514" s="564"/>
      <c r="E514" s="564"/>
      <c r="F514" s="564"/>
      <c r="G514" s="564"/>
      <c r="H514" s="564"/>
      <c r="I514" s="564"/>
      <c r="J514" s="564"/>
      <c r="K514" s="564"/>
      <c r="L514" s="565"/>
      <c r="M514" s="565"/>
      <c r="N514" s="565"/>
      <c r="O514" s="565"/>
      <c r="P514" s="552"/>
    </row>
    <row r="515" spans="1:16" ht="15.75" customHeight="1">
      <c r="A515" s="568"/>
      <c r="B515" s="567"/>
      <c r="C515" s="566"/>
      <c r="D515" s="564"/>
      <c r="E515" s="564"/>
      <c r="F515" s="564"/>
      <c r="G515" s="564"/>
      <c r="H515" s="564"/>
      <c r="I515" s="564"/>
      <c r="J515" s="564"/>
      <c r="K515" s="564"/>
      <c r="L515" s="565"/>
      <c r="M515" s="565"/>
      <c r="N515" s="565"/>
      <c r="O515" s="565"/>
      <c r="P515" s="552"/>
    </row>
    <row r="516" spans="1:16" ht="15.75" customHeight="1">
      <c r="A516" s="568"/>
      <c r="B516" s="567"/>
      <c r="C516" s="566"/>
      <c r="D516" s="564"/>
      <c r="E516" s="564"/>
      <c r="F516" s="564"/>
      <c r="G516" s="564"/>
      <c r="H516" s="564"/>
      <c r="I516" s="564"/>
      <c r="J516" s="564"/>
      <c r="K516" s="564"/>
      <c r="L516" s="565"/>
      <c r="M516" s="565"/>
      <c r="N516" s="565"/>
      <c r="O516" s="565"/>
      <c r="P516" s="552"/>
    </row>
    <row r="517" spans="1:16" ht="15.75" customHeight="1">
      <c r="A517" s="568"/>
      <c r="B517" s="567"/>
      <c r="C517" s="566"/>
      <c r="D517" s="564"/>
      <c r="E517" s="564"/>
      <c r="F517" s="564"/>
      <c r="G517" s="564"/>
      <c r="H517" s="564"/>
      <c r="I517" s="564"/>
      <c r="J517" s="564"/>
      <c r="K517" s="564"/>
      <c r="L517" s="565"/>
      <c r="M517" s="565"/>
      <c r="N517" s="565"/>
      <c r="O517" s="565"/>
      <c r="P517" s="552"/>
    </row>
    <row r="518" spans="1:16" ht="15.75" customHeight="1">
      <c r="A518" s="568"/>
      <c r="B518" s="567"/>
      <c r="C518" s="566"/>
      <c r="D518" s="564"/>
      <c r="E518" s="564"/>
      <c r="F518" s="564"/>
      <c r="G518" s="564"/>
      <c r="H518" s="564"/>
      <c r="I518" s="564"/>
      <c r="J518" s="564"/>
      <c r="K518" s="564"/>
      <c r="L518" s="565"/>
      <c r="M518" s="565"/>
      <c r="N518" s="565"/>
      <c r="O518" s="565"/>
      <c r="P518" s="552"/>
    </row>
    <row r="519" spans="1:16" ht="15.75" customHeight="1">
      <c r="A519" s="568"/>
      <c r="B519" s="567"/>
      <c r="C519" s="566"/>
      <c r="D519" s="564"/>
      <c r="E519" s="564"/>
      <c r="F519" s="564"/>
      <c r="G519" s="564"/>
      <c r="H519" s="564"/>
      <c r="I519" s="564"/>
      <c r="J519" s="564"/>
      <c r="K519" s="564"/>
      <c r="L519" s="565"/>
      <c r="M519" s="565"/>
      <c r="N519" s="565"/>
      <c r="O519" s="565"/>
      <c r="P519" s="552"/>
    </row>
    <row r="520" spans="1:16" ht="15.75" customHeight="1">
      <c r="A520" s="568"/>
      <c r="B520" s="567"/>
      <c r="C520" s="566"/>
      <c r="D520" s="564"/>
      <c r="E520" s="564"/>
      <c r="F520" s="564"/>
      <c r="G520" s="564"/>
      <c r="H520" s="564"/>
      <c r="I520" s="564"/>
      <c r="J520" s="564"/>
      <c r="K520" s="564"/>
      <c r="L520" s="565"/>
      <c r="M520" s="565"/>
      <c r="N520" s="565"/>
      <c r="O520" s="565"/>
      <c r="P520" s="552"/>
    </row>
    <row r="521" spans="1:16" ht="15.75" customHeight="1">
      <c r="A521" s="568"/>
      <c r="B521" s="567"/>
      <c r="C521" s="566"/>
      <c r="D521" s="564"/>
      <c r="E521" s="564"/>
      <c r="F521" s="564"/>
      <c r="G521" s="564"/>
      <c r="H521" s="564"/>
      <c r="I521" s="564"/>
      <c r="J521" s="564"/>
      <c r="K521" s="564"/>
      <c r="L521" s="565"/>
      <c r="M521" s="565"/>
      <c r="N521" s="565"/>
      <c r="O521" s="565"/>
      <c r="P521" s="552"/>
    </row>
    <row r="522" spans="1:16" ht="15.75" customHeight="1">
      <c r="A522" s="568"/>
      <c r="B522" s="567"/>
      <c r="C522" s="566"/>
      <c r="D522" s="564"/>
      <c r="E522" s="564"/>
      <c r="F522" s="564"/>
      <c r="G522" s="564"/>
      <c r="H522" s="564"/>
      <c r="I522" s="564"/>
      <c r="J522" s="564"/>
      <c r="K522" s="564"/>
      <c r="L522" s="565"/>
      <c r="M522" s="565"/>
      <c r="N522" s="565"/>
      <c r="O522" s="565"/>
      <c r="P522" s="552"/>
    </row>
    <row r="523" spans="1:16" ht="15.75" customHeight="1">
      <c r="A523" s="568"/>
      <c r="B523" s="567"/>
      <c r="C523" s="566"/>
      <c r="D523" s="564"/>
      <c r="E523" s="564"/>
      <c r="F523" s="564"/>
      <c r="G523" s="564"/>
      <c r="H523" s="564"/>
      <c r="I523" s="564"/>
      <c r="J523" s="564"/>
      <c r="K523" s="564"/>
      <c r="L523" s="565"/>
      <c r="M523" s="565"/>
      <c r="N523" s="565"/>
      <c r="O523" s="565"/>
      <c r="P523" s="552"/>
    </row>
    <row r="524" spans="1:16" ht="15.75" customHeight="1">
      <c r="A524" s="568"/>
      <c r="B524" s="567"/>
      <c r="C524" s="566"/>
      <c r="D524" s="564"/>
      <c r="E524" s="564"/>
      <c r="F524" s="564"/>
      <c r="G524" s="564"/>
      <c r="H524" s="564"/>
      <c r="I524" s="564"/>
      <c r="J524" s="564"/>
      <c r="K524" s="564"/>
      <c r="L524" s="565"/>
      <c r="M524" s="565"/>
      <c r="N524" s="565"/>
      <c r="O524" s="565"/>
      <c r="P524" s="552"/>
    </row>
    <row r="525" spans="1:16" ht="15.75" customHeight="1">
      <c r="A525" s="568"/>
      <c r="B525" s="567"/>
      <c r="C525" s="566"/>
      <c r="D525" s="564"/>
      <c r="E525" s="564"/>
      <c r="F525" s="564"/>
      <c r="G525" s="564"/>
      <c r="H525" s="564"/>
      <c r="I525" s="564"/>
      <c r="J525" s="564"/>
      <c r="K525" s="564"/>
      <c r="L525" s="565"/>
      <c r="M525" s="565"/>
      <c r="N525" s="565"/>
      <c r="O525" s="565"/>
      <c r="P525" s="552"/>
    </row>
    <row r="526" spans="1:16" ht="15.75" customHeight="1">
      <c r="A526" s="568"/>
      <c r="B526" s="567"/>
      <c r="C526" s="566"/>
      <c r="D526" s="564"/>
      <c r="E526" s="564"/>
      <c r="F526" s="564"/>
      <c r="G526" s="564"/>
      <c r="H526" s="564"/>
      <c r="I526" s="564"/>
      <c r="J526" s="564"/>
      <c r="K526" s="564"/>
      <c r="L526" s="565"/>
      <c r="M526" s="565"/>
      <c r="N526" s="565"/>
      <c r="O526" s="565"/>
      <c r="P526" s="552"/>
    </row>
    <row r="527" spans="1:16" ht="15.75" customHeight="1">
      <c r="A527" s="568"/>
      <c r="B527" s="567"/>
      <c r="C527" s="566"/>
      <c r="D527" s="564"/>
      <c r="E527" s="564"/>
      <c r="F527" s="564"/>
      <c r="G527" s="564"/>
      <c r="H527" s="564"/>
      <c r="I527" s="564"/>
      <c r="J527" s="564"/>
      <c r="K527" s="564"/>
      <c r="L527" s="565"/>
      <c r="M527" s="565"/>
      <c r="N527" s="565"/>
      <c r="O527" s="565"/>
      <c r="P527" s="552"/>
    </row>
    <row r="528" spans="1:16" ht="15.75" customHeight="1">
      <c r="A528" s="568"/>
      <c r="B528" s="567"/>
      <c r="C528" s="566"/>
      <c r="D528" s="564"/>
      <c r="E528" s="564"/>
      <c r="F528" s="564"/>
      <c r="G528" s="564"/>
      <c r="H528" s="564"/>
      <c r="I528" s="564"/>
      <c r="J528" s="564"/>
      <c r="K528" s="564"/>
      <c r="L528" s="565"/>
      <c r="M528" s="565"/>
      <c r="N528" s="565"/>
      <c r="O528" s="565"/>
      <c r="P528" s="552"/>
    </row>
    <row r="529" spans="1:16" ht="15.75" customHeight="1">
      <c r="A529" s="568"/>
      <c r="B529" s="567"/>
      <c r="C529" s="566"/>
      <c r="D529" s="564"/>
      <c r="E529" s="564"/>
      <c r="F529" s="564"/>
      <c r="G529" s="564"/>
      <c r="H529" s="564"/>
      <c r="I529" s="564"/>
      <c r="J529" s="564"/>
      <c r="K529" s="564"/>
      <c r="L529" s="565"/>
      <c r="M529" s="565"/>
      <c r="N529" s="565"/>
      <c r="O529" s="565"/>
      <c r="P529" s="552"/>
    </row>
    <row r="530" spans="1:16" ht="15.75" customHeight="1">
      <c r="A530" s="568"/>
      <c r="B530" s="567"/>
      <c r="C530" s="566"/>
      <c r="D530" s="564"/>
      <c r="E530" s="564"/>
      <c r="F530" s="564"/>
      <c r="G530" s="564"/>
      <c r="H530" s="564"/>
      <c r="I530" s="564"/>
      <c r="J530" s="564"/>
      <c r="K530" s="564"/>
      <c r="L530" s="565"/>
      <c r="M530" s="565"/>
      <c r="N530" s="565"/>
      <c r="O530" s="565"/>
      <c r="P530" s="552"/>
    </row>
    <row r="531" spans="1:16" ht="15.75" customHeight="1">
      <c r="A531" s="568"/>
      <c r="B531" s="567"/>
      <c r="C531" s="566"/>
      <c r="D531" s="564"/>
      <c r="E531" s="564"/>
      <c r="F531" s="564"/>
      <c r="G531" s="564"/>
      <c r="H531" s="564"/>
      <c r="I531" s="564"/>
      <c r="J531" s="564"/>
      <c r="K531" s="564"/>
      <c r="L531" s="565"/>
      <c r="M531" s="565"/>
      <c r="N531" s="565"/>
      <c r="O531" s="565"/>
      <c r="P531" s="552"/>
    </row>
    <row r="532" spans="1:16" ht="15.75" customHeight="1">
      <c r="A532" s="568"/>
      <c r="B532" s="567"/>
      <c r="C532" s="566"/>
      <c r="D532" s="564"/>
      <c r="E532" s="564"/>
      <c r="F532" s="564"/>
      <c r="G532" s="564"/>
      <c r="H532" s="564"/>
      <c r="I532" s="564"/>
      <c r="J532" s="564"/>
      <c r="K532" s="564"/>
      <c r="L532" s="565"/>
      <c r="M532" s="565"/>
      <c r="N532" s="565"/>
      <c r="O532" s="565"/>
      <c r="P532" s="552"/>
    </row>
    <row r="533" spans="1:16" ht="15.75" customHeight="1">
      <c r="A533" s="552"/>
      <c r="B533" s="552"/>
      <c r="C533" s="552"/>
      <c r="D533" s="561"/>
      <c r="E533" s="564"/>
      <c r="F533" s="553"/>
      <c r="G533" s="553"/>
      <c r="H533" s="561"/>
      <c r="I533" s="553"/>
      <c r="J533" s="553"/>
      <c r="K533" s="553"/>
      <c r="L533" s="563"/>
      <c r="M533" s="560"/>
      <c r="N533" s="560"/>
      <c r="O533" s="560"/>
      <c r="P533" s="560"/>
    </row>
    <row r="534" spans="1:16" ht="15.75" customHeight="1">
      <c r="A534" s="552"/>
      <c r="B534" s="552"/>
      <c r="C534" s="562"/>
      <c r="D534" s="561"/>
      <c r="E534" s="561"/>
      <c r="F534" s="553"/>
      <c r="G534" s="553"/>
      <c r="H534" s="561"/>
      <c r="I534" s="553"/>
      <c r="J534" s="553"/>
      <c r="K534" s="553"/>
      <c r="L534" s="560"/>
      <c r="M534" s="560"/>
      <c r="N534" s="560"/>
      <c r="O534" s="560"/>
      <c r="P534" s="560"/>
    </row>
    <row r="535" spans="1:16" ht="15.75" customHeight="1">
      <c r="A535" s="552"/>
      <c r="B535" s="559"/>
      <c r="C535" s="559"/>
      <c r="D535" s="558"/>
      <c r="E535" s="558"/>
      <c r="F535" s="553"/>
      <c r="G535" s="553"/>
      <c r="H535" s="553"/>
      <c r="I535" s="557"/>
      <c r="J535" s="557"/>
      <c r="K535" s="557"/>
      <c r="L535" s="556"/>
      <c r="M535" s="556"/>
      <c r="N535" s="556"/>
      <c r="O535" s="556"/>
      <c r="P535" s="552"/>
    </row>
    <row r="536" spans="1:16" ht="15.75" customHeight="1">
      <c r="A536" s="552"/>
      <c r="B536" s="555"/>
      <c r="C536" s="555"/>
      <c r="D536" s="554"/>
      <c r="E536" s="553"/>
      <c r="F536" s="553"/>
      <c r="G536" s="553"/>
      <c r="H536" s="553"/>
      <c r="I536" s="553"/>
      <c r="J536" s="553"/>
      <c r="K536" s="553"/>
      <c r="L536" s="552"/>
      <c r="M536" s="552"/>
      <c r="N536" s="552"/>
      <c r="O536" s="552"/>
      <c r="P536" s="552"/>
    </row>
  </sheetData>
  <mergeCells count="17">
    <mergeCell ref="C86:E86"/>
    <mergeCell ref="C160:E160"/>
    <mergeCell ref="C161:E161"/>
    <mergeCell ref="C400:D400"/>
    <mergeCell ref="C313:E313"/>
    <mergeCell ref="C314:E314"/>
    <mergeCell ref="C315:E315"/>
    <mergeCell ref="C162:E162"/>
    <mergeCell ref="C232:E232"/>
    <mergeCell ref="C233:E233"/>
    <mergeCell ref="C234:E234"/>
    <mergeCell ref="C399:D399"/>
    <mergeCell ref="C1:E1"/>
    <mergeCell ref="C2:E2"/>
    <mergeCell ref="C3:E3"/>
    <mergeCell ref="C84:E84"/>
    <mergeCell ref="C85:E85"/>
  </mergeCells>
  <printOptions horizontalCentered="1" verticalCentered="1" gridLines="1"/>
  <pageMargins left="0.23622047244094491" right="0.23622047244094491" top="0.74803149606299213" bottom="0.74803149606299213" header="0.31496062992125984" footer="0.31496062992125984"/>
  <pageSetup scale="80" fitToHeight="0"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122"/>
  <sheetViews>
    <sheetView zoomScale="115" zoomScaleNormal="115" workbookViewId="0">
      <selection activeCell="I24" sqref="I24:I30"/>
    </sheetView>
  </sheetViews>
  <sheetFormatPr baseColWidth="10" defaultColWidth="11.42578125" defaultRowHeight="18.75"/>
  <cols>
    <col min="1" max="1" width="1.5703125" style="131" customWidth="1"/>
    <col min="2" max="2" width="21.85546875" style="131" customWidth="1"/>
    <col min="3" max="3" width="7" style="271" customWidth="1"/>
    <col min="4" max="4" width="11.140625" style="271" customWidth="1"/>
    <col min="5" max="5" width="12.42578125" style="277" customWidth="1"/>
    <col min="6" max="6" width="12.5703125" style="277" customWidth="1"/>
    <col min="7" max="7" width="12.42578125" style="271" customWidth="1"/>
    <col min="8" max="8" width="11.5703125" style="272" customWidth="1"/>
    <col min="9" max="9" width="12" style="272" bestFit="1" customWidth="1"/>
    <col min="10" max="10" width="11.5703125" style="272" customWidth="1"/>
    <col min="11" max="11" width="11.5703125" style="272" bestFit="1" customWidth="1"/>
    <col min="12" max="12" width="12.5703125" style="273" customWidth="1"/>
    <col min="13" max="13" width="11.7109375" style="272" customWidth="1"/>
    <col min="14" max="14" width="14" style="272" bestFit="1" customWidth="1"/>
    <col min="15" max="15" width="13.85546875" style="272" customWidth="1"/>
    <col min="16" max="16" width="54.5703125" style="271" customWidth="1"/>
    <col min="17" max="17" width="10.85546875" style="128" customWidth="1"/>
    <col min="18" max="18" width="34.28515625" style="129" customWidth="1"/>
    <col min="19" max="19" width="11.42578125" style="130"/>
    <col min="20" max="16384" width="11.42578125" style="131"/>
  </cols>
  <sheetData>
    <row r="2" spans="2:19" s="117" customFormat="1" ht="26.25" customHeight="1" thickBot="1">
      <c r="C2" s="118"/>
      <c r="D2" s="118"/>
      <c r="E2" s="866" t="s">
        <v>192</v>
      </c>
      <c r="F2" s="866"/>
      <c r="G2" s="867"/>
      <c r="H2" s="867"/>
      <c r="I2" s="867"/>
      <c r="J2" s="867"/>
      <c r="K2" s="119"/>
      <c r="L2" s="120"/>
      <c r="M2" s="119"/>
      <c r="N2" s="119"/>
      <c r="O2" s="119"/>
      <c r="P2" s="121"/>
      <c r="Q2" s="122"/>
      <c r="R2" s="123"/>
      <c r="S2" s="124"/>
    </row>
    <row r="3" spans="2:19" s="117" customFormat="1" ht="19.5" customHeight="1" thickBot="1">
      <c r="C3" s="125"/>
      <c r="D3" s="125"/>
      <c r="E3" s="868" t="s">
        <v>193</v>
      </c>
      <c r="F3" s="868"/>
      <c r="G3" s="867"/>
      <c r="H3" s="867"/>
      <c r="I3" s="867"/>
      <c r="J3" s="867"/>
      <c r="K3" s="126"/>
      <c r="L3" s="869" t="s">
        <v>194</v>
      </c>
      <c r="M3" s="870"/>
      <c r="N3" s="870"/>
      <c r="O3" s="871"/>
      <c r="P3" s="121"/>
      <c r="Q3" s="122"/>
      <c r="R3" s="123"/>
      <c r="S3" s="124"/>
    </row>
    <row r="4" spans="2:19" s="117" customFormat="1" ht="19.5" customHeight="1" thickBot="1">
      <c r="C4" s="125"/>
      <c r="D4" s="125"/>
      <c r="E4" s="125"/>
      <c r="F4" s="125"/>
      <c r="G4" s="125"/>
      <c r="H4" s="125"/>
      <c r="I4" s="125"/>
      <c r="J4" s="125"/>
      <c r="K4" s="126"/>
      <c r="L4" s="127"/>
      <c r="M4" s="127"/>
      <c r="N4" s="127"/>
      <c r="O4" s="127"/>
      <c r="P4" s="121"/>
      <c r="Q4" s="122"/>
      <c r="R4" s="123"/>
      <c r="S4" s="124"/>
    </row>
    <row r="5" spans="2:19" ht="45.75" customHeight="1" thickBot="1">
      <c r="B5" s="872" t="s">
        <v>195</v>
      </c>
      <c r="C5" s="873"/>
      <c r="D5" s="873"/>
      <c r="E5" s="873"/>
      <c r="F5" s="873"/>
      <c r="G5" s="873"/>
      <c r="H5" s="873"/>
      <c r="I5" s="873"/>
      <c r="J5" s="873"/>
      <c r="K5" s="873"/>
      <c r="L5" s="873"/>
      <c r="M5" s="873"/>
      <c r="N5" s="873"/>
      <c r="O5" s="873"/>
      <c r="P5" s="874"/>
    </row>
    <row r="6" spans="2:19" s="136" customFormat="1" ht="30.75" customHeight="1" thickBot="1">
      <c r="B6" s="132"/>
      <c r="C6" s="875" t="s">
        <v>196</v>
      </c>
      <c r="D6" s="876"/>
      <c r="E6" s="876"/>
      <c r="F6" s="876"/>
      <c r="G6" s="876"/>
      <c r="H6" s="876"/>
      <c r="I6" s="876"/>
      <c r="J6" s="876"/>
      <c r="K6" s="876"/>
      <c r="L6" s="876"/>
      <c r="M6" s="876"/>
      <c r="N6" s="876"/>
      <c r="O6" s="877"/>
      <c r="P6" s="133"/>
      <c r="Q6" s="134"/>
      <c r="R6" s="135"/>
      <c r="S6" s="134"/>
    </row>
    <row r="7" spans="2:19" s="136" customFormat="1" ht="25.5" customHeight="1">
      <c r="B7" s="132"/>
      <c r="C7" s="137"/>
      <c r="D7" s="137"/>
      <c r="E7" s="137"/>
      <c r="F7" s="137"/>
      <c r="G7" s="137"/>
      <c r="H7" s="137"/>
      <c r="I7" s="137"/>
      <c r="J7" s="137"/>
      <c r="K7" s="137"/>
      <c r="L7" s="137"/>
      <c r="M7" s="137"/>
      <c r="N7" s="137"/>
      <c r="O7" s="137"/>
      <c r="P7" s="133"/>
      <c r="Q7" s="134"/>
      <c r="R7" s="135"/>
      <c r="S7" s="134"/>
    </row>
    <row r="8" spans="2:19" s="136" customFormat="1" ht="25.5" customHeight="1" thickBot="1">
      <c r="B8" s="132"/>
      <c r="C8" s="137"/>
      <c r="D8" s="137"/>
      <c r="E8" s="137"/>
      <c r="F8" s="137"/>
      <c r="G8" s="137"/>
      <c r="H8" s="137"/>
      <c r="I8" s="137"/>
      <c r="J8" s="137"/>
      <c r="K8" s="137"/>
      <c r="L8" s="137"/>
      <c r="M8" s="137"/>
      <c r="N8" s="137"/>
      <c r="O8" s="137"/>
      <c r="P8" s="133"/>
      <c r="Q8" s="134"/>
      <c r="R8" s="135"/>
      <c r="S8" s="134"/>
    </row>
    <row r="9" spans="2:19" s="145" customFormat="1" ht="22.5" customHeight="1" thickBot="1">
      <c r="B9" s="878" t="s">
        <v>197</v>
      </c>
      <c r="C9" s="878" t="s">
        <v>198</v>
      </c>
      <c r="D9" s="138" t="s">
        <v>15</v>
      </c>
      <c r="E9" s="138" t="s">
        <v>16</v>
      </c>
      <c r="F9" s="139" t="s">
        <v>145</v>
      </c>
      <c r="G9" s="880" t="s">
        <v>199</v>
      </c>
      <c r="H9" s="882" t="s">
        <v>145</v>
      </c>
      <c r="I9" s="884" t="s">
        <v>200</v>
      </c>
      <c r="J9" s="140" t="s">
        <v>201</v>
      </c>
      <c r="K9" s="141" t="s">
        <v>201</v>
      </c>
      <c r="L9" s="142" t="s">
        <v>201</v>
      </c>
      <c r="M9" s="141" t="s">
        <v>202</v>
      </c>
      <c r="N9" s="142" t="s">
        <v>202</v>
      </c>
      <c r="O9" s="884" t="s">
        <v>203</v>
      </c>
      <c r="P9" s="886" t="s">
        <v>204</v>
      </c>
      <c r="Q9" s="143"/>
      <c r="R9" s="144"/>
    </row>
    <row r="10" spans="2:19" s="145" customFormat="1" ht="22.5" customHeight="1" thickBot="1">
      <c r="B10" s="879"/>
      <c r="C10" s="879"/>
      <c r="D10" s="146" t="s">
        <v>205</v>
      </c>
      <c r="E10" s="146" t="s">
        <v>206</v>
      </c>
      <c r="F10" s="146" t="s">
        <v>207</v>
      </c>
      <c r="G10" s="881"/>
      <c r="H10" s="883"/>
      <c r="I10" s="885"/>
      <c r="J10" s="147" t="s">
        <v>208</v>
      </c>
      <c r="K10" s="148" t="s">
        <v>12</v>
      </c>
      <c r="L10" s="149" t="s">
        <v>209</v>
      </c>
      <c r="M10" s="148" t="s">
        <v>208</v>
      </c>
      <c r="N10" s="149" t="s">
        <v>210</v>
      </c>
      <c r="O10" s="885"/>
      <c r="P10" s="887"/>
      <c r="Q10" s="143"/>
      <c r="R10" s="144"/>
    </row>
    <row r="11" spans="2:19" s="145" customFormat="1" ht="17.25" customHeight="1">
      <c r="B11" s="912" t="s">
        <v>211</v>
      </c>
      <c r="C11" s="912" t="s">
        <v>212</v>
      </c>
      <c r="D11" s="914" t="s">
        <v>213</v>
      </c>
      <c r="E11" s="916">
        <v>6453900</v>
      </c>
      <c r="F11" s="918">
        <v>8532500</v>
      </c>
      <c r="G11" s="150" t="s">
        <v>214</v>
      </c>
      <c r="H11" s="150">
        <v>346000</v>
      </c>
      <c r="I11" s="920">
        <f>+SUM(H11:H16)</f>
        <v>6988400</v>
      </c>
      <c r="J11" s="151">
        <v>346000</v>
      </c>
      <c r="K11" s="152"/>
      <c r="L11" s="150"/>
      <c r="M11" s="922">
        <f>+F11-J11-J12-J13-J14-J15-J16</f>
        <v>2598259</v>
      </c>
      <c r="N11" s="916">
        <f>968085+183936-K12-L12-K13-L13-K14-L14-K15-L15-K16-L16</f>
        <v>97862.159999999989</v>
      </c>
      <c r="O11" s="916">
        <f>+M11+N11</f>
        <v>2696121.16</v>
      </c>
      <c r="P11" s="891" t="s">
        <v>215</v>
      </c>
      <c r="Q11" s="143"/>
      <c r="R11" s="144"/>
    </row>
    <row r="12" spans="2:19" s="145" customFormat="1" ht="17.25" customHeight="1">
      <c r="B12" s="913"/>
      <c r="C12" s="913"/>
      <c r="D12" s="915"/>
      <c r="E12" s="917"/>
      <c r="F12" s="919"/>
      <c r="G12" s="153" t="s">
        <v>216</v>
      </c>
      <c r="H12" s="153">
        <v>3042400</v>
      </c>
      <c r="I12" s="921"/>
      <c r="J12" s="154">
        <f>+H12-K12-L12</f>
        <v>2499400</v>
      </c>
      <c r="K12" s="155">
        <v>456303</v>
      </c>
      <c r="L12" s="153">
        <v>86697</v>
      </c>
      <c r="M12" s="923"/>
      <c r="N12" s="917"/>
      <c r="O12" s="917"/>
      <c r="P12" s="892"/>
      <c r="Q12" s="143"/>
      <c r="R12" s="144"/>
    </row>
    <row r="13" spans="2:19" s="145" customFormat="1" ht="17.25" customHeight="1">
      <c r="B13" s="913"/>
      <c r="C13" s="913"/>
      <c r="D13" s="915"/>
      <c r="E13" s="917"/>
      <c r="F13" s="919"/>
      <c r="G13" s="153" t="s">
        <v>217</v>
      </c>
      <c r="H13" s="153">
        <v>1200000</v>
      </c>
      <c r="I13" s="921"/>
      <c r="J13" s="154">
        <f>+H13-K13-L13</f>
        <v>985800</v>
      </c>
      <c r="K13" s="155">
        <v>180000</v>
      </c>
      <c r="L13" s="153">
        <f>+K13*0.19</f>
        <v>34200</v>
      </c>
      <c r="M13" s="923"/>
      <c r="N13" s="917"/>
      <c r="O13" s="917"/>
      <c r="P13" s="892"/>
      <c r="Q13" s="143"/>
      <c r="R13" s="144"/>
    </row>
    <row r="14" spans="2:19" s="145" customFormat="1" ht="17.25" customHeight="1">
      <c r="B14" s="913"/>
      <c r="C14" s="913"/>
      <c r="D14" s="915"/>
      <c r="E14" s="917"/>
      <c r="F14" s="919"/>
      <c r="G14" s="153" t="s">
        <v>218</v>
      </c>
      <c r="H14" s="153">
        <v>1200000</v>
      </c>
      <c r="I14" s="921"/>
      <c r="J14" s="154">
        <v>1084797</v>
      </c>
      <c r="K14" s="155">
        <v>96809</v>
      </c>
      <c r="L14" s="153">
        <v>18394</v>
      </c>
      <c r="M14" s="923"/>
      <c r="N14" s="917"/>
      <c r="O14" s="917"/>
      <c r="P14" s="892"/>
      <c r="Q14" s="143"/>
      <c r="R14" s="144"/>
    </row>
    <row r="15" spans="2:19" s="145" customFormat="1" ht="17.25" customHeight="1">
      <c r="B15" s="913"/>
      <c r="C15" s="913"/>
      <c r="D15" s="915"/>
      <c r="E15" s="917"/>
      <c r="F15" s="919"/>
      <c r="G15" s="156" t="s">
        <v>219</v>
      </c>
      <c r="H15" s="156">
        <v>500000</v>
      </c>
      <c r="I15" s="921"/>
      <c r="J15" s="157">
        <v>424268</v>
      </c>
      <c r="K15" s="158">
        <v>63640</v>
      </c>
      <c r="L15" s="156">
        <f>+K15*0.19</f>
        <v>12091.6</v>
      </c>
      <c r="M15" s="923"/>
      <c r="N15" s="917"/>
      <c r="O15" s="917"/>
      <c r="P15" s="892"/>
      <c r="Q15" s="143"/>
      <c r="R15" s="144"/>
    </row>
    <row r="16" spans="2:19" s="145" customFormat="1" ht="17.25" customHeight="1" thickBot="1">
      <c r="B16" s="913"/>
      <c r="C16" s="913"/>
      <c r="D16" s="915"/>
      <c r="E16" s="917"/>
      <c r="F16" s="919"/>
      <c r="G16" s="156" t="s">
        <v>220</v>
      </c>
      <c r="H16" s="156">
        <v>700000</v>
      </c>
      <c r="I16" s="921"/>
      <c r="J16" s="157">
        <v>593976</v>
      </c>
      <c r="K16" s="158">
        <v>89096</v>
      </c>
      <c r="L16" s="156">
        <f>+K16*0.19</f>
        <v>16928.240000000002</v>
      </c>
      <c r="M16" s="923"/>
      <c r="N16" s="917"/>
      <c r="O16" s="917"/>
      <c r="P16" s="893"/>
      <c r="Q16" s="143"/>
      <c r="R16" s="144"/>
    </row>
    <row r="17" spans="2:18" s="145" customFormat="1" ht="15" customHeight="1">
      <c r="B17" s="894" t="s">
        <v>221</v>
      </c>
      <c r="C17" s="894" t="s">
        <v>222</v>
      </c>
      <c r="D17" s="897" t="s">
        <v>223</v>
      </c>
      <c r="E17" s="888">
        <v>4431900</v>
      </c>
      <c r="F17" s="900">
        <v>13646400</v>
      </c>
      <c r="G17" s="159" t="s">
        <v>224</v>
      </c>
      <c r="H17" s="160">
        <v>3400000</v>
      </c>
      <c r="I17" s="903">
        <f>+SUM(H11:H30)</f>
        <v>27430400</v>
      </c>
      <c r="J17" s="160">
        <v>2793100</v>
      </c>
      <c r="K17" s="161">
        <v>510000</v>
      </c>
      <c r="L17" s="160">
        <v>96900</v>
      </c>
      <c r="M17" s="906">
        <f>+F17-J17-J18-J19-J20-J21-J22-J23</f>
        <v>2973448</v>
      </c>
      <c r="N17" s="903">
        <f>2363626-K17-L17-K18-L18-K19-L19-K21-L21-K22-L22-K23-L23</f>
        <v>566577.44000000006</v>
      </c>
      <c r="O17" s="888">
        <f>+M17+N17</f>
        <v>3540025.44</v>
      </c>
      <c r="P17" s="909" t="s">
        <v>225</v>
      </c>
      <c r="Q17" s="143"/>
      <c r="R17" s="144"/>
    </row>
    <row r="18" spans="2:18" s="145" customFormat="1" ht="15" customHeight="1">
      <c r="B18" s="895"/>
      <c r="C18" s="895"/>
      <c r="D18" s="898"/>
      <c r="E18" s="889"/>
      <c r="F18" s="901"/>
      <c r="G18" s="162" t="s">
        <v>226</v>
      </c>
      <c r="H18" s="163">
        <v>900000</v>
      </c>
      <c r="I18" s="904"/>
      <c r="J18" s="163">
        <v>739350</v>
      </c>
      <c r="K18" s="164">
        <v>135000</v>
      </c>
      <c r="L18" s="163">
        <v>25650</v>
      </c>
      <c r="M18" s="907"/>
      <c r="N18" s="904"/>
      <c r="O18" s="889"/>
      <c r="P18" s="910"/>
      <c r="Q18" s="143"/>
      <c r="R18" s="144"/>
    </row>
    <row r="19" spans="2:18" s="145" customFormat="1" ht="15" customHeight="1">
      <c r="B19" s="895"/>
      <c r="C19" s="895"/>
      <c r="D19" s="898"/>
      <c r="E19" s="889"/>
      <c r="F19" s="901"/>
      <c r="G19" s="165" t="s">
        <v>227</v>
      </c>
      <c r="H19" s="166">
        <v>3000000</v>
      </c>
      <c r="I19" s="904"/>
      <c r="J19" s="163">
        <v>2643000</v>
      </c>
      <c r="K19" s="164">
        <v>300000</v>
      </c>
      <c r="L19" s="163">
        <v>57000</v>
      </c>
      <c r="M19" s="907"/>
      <c r="N19" s="904"/>
      <c r="O19" s="889"/>
      <c r="P19" s="910"/>
      <c r="Q19" s="143"/>
      <c r="R19" s="144"/>
    </row>
    <row r="20" spans="2:18" s="145" customFormat="1" ht="15" customHeight="1">
      <c r="B20" s="895"/>
      <c r="C20" s="895"/>
      <c r="D20" s="898"/>
      <c r="E20" s="889"/>
      <c r="F20" s="901"/>
      <c r="G20" s="162" t="s">
        <v>228</v>
      </c>
      <c r="H20" s="163">
        <v>360000</v>
      </c>
      <c r="I20" s="904"/>
      <c r="J20" s="163">
        <v>360000</v>
      </c>
      <c r="K20" s="164"/>
      <c r="L20" s="166"/>
      <c r="M20" s="907"/>
      <c r="N20" s="904"/>
      <c r="O20" s="889"/>
      <c r="P20" s="910"/>
      <c r="Q20" s="143"/>
      <c r="R20" s="144"/>
    </row>
    <row r="21" spans="2:18" s="145" customFormat="1" ht="15" customHeight="1">
      <c r="B21" s="895"/>
      <c r="C21" s="895"/>
      <c r="D21" s="898"/>
      <c r="E21" s="889"/>
      <c r="F21" s="901"/>
      <c r="G21" s="167" t="s">
        <v>229</v>
      </c>
      <c r="H21" s="168">
        <v>1370000</v>
      </c>
      <c r="I21" s="904"/>
      <c r="J21" s="163">
        <v>1218537</v>
      </c>
      <c r="K21" s="164">
        <v>127280</v>
      </c>
      <c r="L21" s="163">
        <f>+K21*0.19</f>
        <v>24183.200000000001</v>
      </c>
      <c r="M21" s="907"/>
      <c r="N21" s="904"/>
      <c r="O21" s="889"/>
      <c r="P21" s="910"/>
      <c r="Q21" s="143"/>
      <c r="R21" s="144"/>
    </row>
    <row r="22" spans="2:18" s="145" customFormat="1" ht="15" customHeight="1">
      <c r="B22" s="895"/>
      <c r="C22" s="895"/>
      <c r="D22" s="898"/>
      <c r="E22" s="889"/>
      <c r="F22" s="901"/>
      <c r="G22" s="162" t="s">
        <v>230</v>
      </c>
      <c r="H22" s="163">
        <v>940000</v>
      </c>
      <c r="I22" s="904"/>
      <c r="J22" s="163">
        <v>797624</v>
      </c>
      <c r="K22" s="164">
        <v>119644</v>
      </c>
      <c r="L22" s="163">
        <f>+K22*0.19</f>
        <v>22732.36</v>
      </c>
      <c r="M22" s="907"/>
      <c r="N22" s="904"/>
      <c r="O22" s="889"/>
      <c r="P22" s="910"/>
      <c r="Q22" s="143"/>
      <c r="R22" s="144"/>
    </row>
    <row r="23" spans="2:18" s="145" customFormat="1" ht="15" customHeight="1" thickBot="1">
      <c r="B23" s="896"/>
      <c r="C23" s="896"/>
      <c r="D23" s="899"/>
      <c r="E23" s="890"/>
      <c r="F23" s="902"/>
      <c r="G23" s="169" t="s">
        <v>231</v>
      </c>
      <c r="H23" s="170">
        <v>2500000</v>
      </c>
      <c r="I23" s="905"/>
      <c r="J23" s="170">
        <v>2121341</v>
      </c>
      <c r="K23" s="171">
        <v>318201</v>
      </c>
      <c r="L23" s="170">
        <v>60458</v>
      </c>
      <c r="M23" s="908"/>
      <c r="N23" s="905"/>
      <c r="O23" s="890"/>
      <c r="P23" s="911"/>
      <c r="Q23" s="143"/>
      <c r="R23" s="144"/>
    </row>
    <row r="24" spans="2:18" s="145" customFormat="1" ht="13.5" customHeight="1">
      <c r="B24" s="894" t="s">
        <v>232</v>
      </c>
      <c r="C24" s="894" t="s">
        <v>233</v>
      </c>
      <c r="D24" s="897" t="s">
        <v>234</v>
      </c>
      <c r="E24" s="888">
        <f>3500700+972000</f>
        <v>4472700</v>
      </c>
      <c r="F24" s="900">
        <v>8704550</v>
      </c>
      <c r="G24" s="159" t="s">
        <v>235</v>
      </c>
      <c r="H24" s="160">
        <v>486000</v>
      </c>
      <c r="I24" s="903">
        <f>+SUM(H11:H30)</f>
        <v>27430400</v>
      </c>
      <c r="J24" s="172">
        <v>486000</v>
      </c>
      <c r="K24" s="173"/>
      <c r="L24" s="172"/>
      <c r="M24" s="906">
        <f>+F24-J24-J25-J26-J27-J28-J29-J30</f>
        <v>1860386</v>
      </c>
      <c r="N24" s="888">
        <f>1553762-K25-L25-K26-L26-K28-L28-K29-L29-K30-L30</f>
        <v>425925.05000000005</v>
      </c>
      <c r="O24" s="888">
        <f>+M24+N24</f>
        <v>2286311.0499999998</v>
      </c>
      <c r="P24" s="909" t="s">
        <v>236</v>
      </c>
      <c r="Q24" s="143"/>
      <c r="R24" s="144"/>
    </row>
    <row r="25" spans="2:18" s="145" customFormat="1" ht="13.5" customHeight="1">
      <c r="B25" s="895"/>
      <c r="C25" s="895"/>
      <c r="D25" s="898"/>
      <c r="E25" s="889"/>
      <c r="F25" s="901"/>
      <c r="G25" s="167" t="s">
        <v>237</v>
      </c>
      <c r="H25" s="168">
        <v>1800000</v>
      </c>
      <c r="I25" s="904"/>
      <c r="J25" s="174">
        <f>661165+744200+117000+5000</f>
        <v>1527365</v>
      </c>
      <c r="K25" s="175">
        <v>229105</v>
      </c>
      <c r="L25" s="176">
        <f>+K25*0.19</f>
        <v>43529.95</v>
      </c>
      <c r="M25" s="907"/>
      <c r="N25" s="889"/>
      <c r="O25" s="889"/>
      <c r="P25" s="910"/>
      <c r="Q25" s="143"/>
      <c r="R25" s="144"/>
    </row>
    <row r="26" spans="2:18" s="145" customFormat="1" ht="13.5" customHeight="1">
      <c r="B26" s="895"/>
      <c r="C26" s="895"/>
      <c r="D26" s="898"/>
      <c r="E26" s="889"/>
      <c r="F26" s="901"/>
      <c r="G26" s="162" t="s">
        <v>213</v>
      </c>
      <c r="H26" s="163">
        <v>300000</v>
      </c>
      <c r="I26" s="904"/>
      <c r="J26" s="176">
        <v>254561</v>
      </c>
      <c r="K26" s="177">
        <v>38184</v>
      </c>
      <c r="L26" s="174">
        <v>7255</v>
      </c>
      <c r="M26" s="907"/>
      <c r="N26" s="889"/>
      <c r="O26" s="889"/>
      <c r="P26" s="910"/>
      <c r="Q26" s="143"/>
      <c r="R26" s="144"/>
    </row>
    <row r="27" spans="2:18" s="145" customFormat="1" ht="13.5" customHeight="1">
      <c r="B27" s="895"/>
      <c r="C27" s="895"/>
      <c r="D27" s="898"/>
      <c r="E27" s="889"/>
      <c r="F27" s="901"/>
      <c r="G27" s="162" t="s">
        <v>213</v>
      </c>
      <c r="H27" s="163">
        <v>486000</v>
      </c>
      <c r="I27" s="904"/>
      <c r="J27" s="178">
        <v>486000</v>
      </c>
      <c r="K27" s="179"/>
      <c r="L27" s="178"/>
      <c r="M27" s="907"/>
      <c r="N27" s="889"/>
      <c r="O27" s="889"/>
      <c r="P27" s="910"/>
      <c r="Q27" s="143"/>
      <c r="R27" s="144"/>
    </row>
    <row r="28" spans="2:18" s="145" customFormat="1" ht="13.5" customHeight="1">
      <c r="B28" s="895"/>
      <c r="C28" s="895"/>
      <c r="D28" s="898"/>
      <c r="E28" s="889"/>
      <c r="F28" s="901"/>
      <c r="G28" s="162" t="s">
        <v>217</v>
      </c>
      <c r="H28" s="163">
        <v>2500000</v>
      </c>
      <c r="I28" s="904"/>
      <c r="J28" s="176">
        <v>2053750</v>
      </c>
      <c r="K28" s="175">
        <v>375000</v>
      </c>
      <c r="L28" s="176">
        <v>71250</v>
      </c>
      <c r="M28" s="907"/>
      <c r="N28" s="889"/>
      <c r="O28" s="889"/>
      <c r="P28" s="910"/>
      <c r="Q28" s="143"/>
      <c r="R28" s="144"/>
    </row>
    <row r="29" spans="2:18" s="145" customFormat="1" ht="13.5" customHeight="1">
      <c r="B29" s="895"/>
      <c r="C29" s="895"/>
      <c r="D29" s="898"/>
      <c r="E29" s="889"/>
      <c r="F29" s="901"/>
      <c r="G29" s="162" t="s">
        <v>238</v>
      </c>
      <c r="H29" s="163">
        <v>400000</v>
      </c>
      <c r="I29" s="904"/>
      <c r="J29" s="176">
        <v>339415</v>
      </c>
      <c r="K29" s="175">
        <v>50912</v>
      </c>
      <c r="L29" s="176">
        <v>9673</v>
      </c>
      <c r="M29" s="907"/>
      <c r="N29" s="889"/>
      <c r="O29" s="889"/>
      <c r="P29" s="910"/>
      <c r="Q29" s="143"/>
      <c r="R29" s="144"/>
    </row>
    <row r="30" spans="2:18" s="145" customFormat="1" ht="13.5" customHeight="1" thickBot="1">
      <c r="B30" s="896"/>
      <c r="C30" s="896"/>
      <c r="D30" s="899"/>
      <c r="E30" s="890"/>
      <c r="F30" s="902"/>
      <c r="G30" s="169" t="s">
        <v>239</v>
      </c>
      <c r="H30" s="171">
        <v>2000000</v>
      </c>
      <c r="I30" s="902"/>
      <c r="J30" s="180">
        <v>1697073</v>
      </c>
      <c r="K30" s="181">
        <v>254561</v>
      </c>
      <c r="L30" s="180">
        <v>48367</v>
      </c>
      <c r="M30" s="908"/>
      <c r="N30" s="890"/>
      <c r="O30" s="890"/>
      <c r="P30" s="911"/>
      <c r="Q30" s="143"/>
      <c r="R30" s="144"/>
    </row>
    <row r="31" spans="2:18" s="145" customFormat="1" ht="6.75" customHeight="1">
      <c r="B31" s="924" t="s">
        <v>240</v>
      </c>
      <c r="C31" s="926" t="s">
        <v>241</v>
      </c>
      <c r="D31" s="928" t="s">
        <v>242</v>
      </c>
      <c r="E31" s="930">
        <v>10209300</v>
      </c>
      <c r="F31" s="932">
        <f>21675500+162800</f>
        <v>21838300</v>
      </c>
      <c r="G31" s="934"/>
      <c r="H31" s="936"/>
      <c r="I31" s="930"/>
      <c r="J31" s="936"/>
      <c r="K31" s="930"/>
      <c r="L31" s="936"/>
      <c r="M31" s="930">
        <f>+F31-J31</f>
        <v>21838300</v>
      </c>
      <c r="N31" s="936">
        <f>3251325+617752</f>
        <v>3869077</v>
      </c>
      <c r="O31" s="930">
        <f>+M31+N31</f>
        <v>25707377</v>
      </c>
      <c r="P31" s="910" t="s">
        <v>243</v>
      </c>
      <c r="Q31" s="143"/>
      <c r="R31" s="144"/>
    </row>
    <row r="32" spans="2:18" s="145" customFormat="1" ht="6.75" customHeight="1">
      <c r="B32" s="924"/>
      <c r="C32" s="926"/>
      <c r="D32" s="928"/>
      <c r="E32" s="930"/>
      <c r="F32" s="932"/>
      <c r="G32" s="934"/>
      <c r="H32" s="936"/>
      <c r="I32" s="930"/>
      <c r="J32" s="936"/>
      <c r="K32" s="930"/>
      <c r="L32" s="936"/>
      <c r="M32" s="930"/>
      <c r="N32" s="936"/>
      <c r="O32" s="930"/>
      <c r="P32" s="910"/>
      <c r="Q32" s="143"/>
      <c r="R32" s="144"/>
    </row>
    <row r="33" spans="2:18" s="145" customFormat="1" ht="6.75" customHeight="1">
      <c r="B33" s="924"/>
      <c r="C33" s="926"/>
      <c r="D33" s="928"/>
      <c r="E33" s="930"/>
      <c r="F33" s="932"/>
      <c r="G33" s="934"/>
      <c r="H33" s="936"/>
      <c r="I33" s="930"/>
      <c r="J33" s="936"/>
      <c r="K33" s="930"/>
      <c r="L33" s="936"/>
      <c r="M33" s="930"/>
      <c r="N33" s="936"/>
      <c r="O33" s="930"/>
      <c r="P33" s="910"/>
      <c r="Q33" s="143"/>
      <c r="R33" s="144"/>
    </row>
    <row r="34" spans="2:18" s="145" customFormat="1" ht="6.75" customHeight="1">
      <c r="B34" s="924"/>
      <c r="C34" s="926"/>
      <c r="D34" s="928"/>
      <c r="E34" s="930"/>
      <c r="F34" s="932"/>
      <c r="G34" s="934"/>
      <c r="H34" s="936"/>
      <c r="I34" s="930"/>
      <c r="J34" s="936"/>
      <c r="K34" s="930"/>
      <c r="L34" s="936"/>
      <c r="M34" s="930"/>
      <c r="N34" s="936"/>
      <c r="O34" s="930"/>
      <c r="P34" s="910"/>
      <c r="Q34" s="143"/>
      <c r="R34" s="144"/>
    </row>
    <row r="35" spans="2:18" s="145" customFormat="1" ht="6.75" customHeight="1">
      <c r="B35" s="924"/>
      <c r="C35" s="926"/>
      <c r="D35" s="928"/>
      <c r="E35" s="930"/>
      <c r="F35" s="932"/>
      <c r="G35" s="934"/>
      <c r="H35" s="936"/>
      <c r="I35" s="930"/>
      <c r="J35" s="936"/>
      <c r="K35" s="930"/>
      <c r="L35" s="936"/>
      <c r="M35" s="930"/>
      <c r="N35" s="936"/>
      <c r="O35" s="930"/>
      <c r="P35" s="910"/>
      <c r="Q35" s="143"/>
      <c r="R35" s="144"/>
    </row>
    <row r="36" spans="2:18" s="145" customFormat="1" ht="6.75" customHeight="1">
      <c r="B36" s="924"/>
      <c r="C36" s="926"/>
      <c r="D36" s="928"/>
      <c r="E36" s="930"/>
      <c r="F36" s="932"/>
      <c r="G36" s="934"/>
      <c r="H36" s="936"/>
      <c r="I36" s="930"/>
      <c r="J36" s="936"/>
      <c r="K36" s="930"/>
      <c r="L36" s="936"/>
      <c r="M36" s="930"/>
      <c r="N36" s="936"/>
      <c r="O36" s="930"/>
      <c r="P36" s="910"/>
      <c r="Q36" s="143"/>
      <c r="R36" s="144"/>
    </row>
    <row r="37" spans="2:18" s="145" customFormat="1" ht="6.75" customHeight="1">
      <c r="B37" s="924"/>
      <c r="C37" s="926"/>
      <c r="D37" s="928"/>
      <c r="E37" s="930"/>
      <c r="F37" s="932"/>
      <c r="G37" s="934"/>
      <c r="H37" s="936"/>
      <c r="I37" s="930"/>
      <c r="J37" s="936"/>
      <c r="K37" s="930"/>
      <c r="L37" s="936"/>
      <c r="M37" s="930"/>
      <c r="N37" s="936"/>
      <c r="O37" s="930"/>
      <c r="P37" s="910"/>
      <c r="Q37" s="143"/>
      <c r="R37" s="144"/>
    </row>
    <row r="38" spans="2:18" s="145" customFormat="1" ht="6.75" customHeight="1">
      <c r="B38" s="924"/>
      <c r="C38" s="926"/>
      <c r="D38" s="928"/>
      <c r="E38" s="930"/>
      <c r="F38" s="932"/>
      <c r="G38" s="934"/>
      <c r="H38" s="936"/>
      <c r="I38" s="930"/>
      <c r="J38" s="936"/>
      <c r="K38" s="930"/>
      <c r="L38" s="936"/>
      <c r="M38" s="930"/>
      <c r="N38" s="936"/>
      <c r="O38" s="930"/>
      <c r="P38" s="910"/>
      <c r="Q38" s="143"/>
      <c r="R38" s="144"/>
    </row>
    <row r="39" spans="2:18" s="145" customFormat="1" ht="6.75" customHeight="1">
      <c r="B39" s="924"/>
      <c r="C39" s="926"/>
      <c r="D39" s="928"/>
      <c r="E39" s="930"/>
      <c r="F39" s="932"/>
      <c r="G39" s="934"/>
      <c r="H39" s="936"/>
      <c r="I39" s="930"/>
      <c r="J39" s="936"/>
      <c r="K39" s="930"/>
      <c r="L39" s="936"/>
      <c r="M39" s="930"/>
      <c r="N39" s="936"/>
      <c r="O39" s="930"/>
      <c r="P39" s="910"/>
      <c r="Q39" s="143"/>
      <c r="R39" s="144"/>
    </row>
    <row r="40" spans="2:18" s="145" customFormat="1" ht="6.75" customHeight="1">
      <c r="B40" s="924"/>
      <c r="C40" s="926"/>
      <c r="D40" s="928"/>
      <c r="E40" s="930"/>
      <c r="F40" s="932"/>
      <c r="G40" s="934"/>
      <c r="H40" s="936"/>
      <c r="I40" s="930"/>
      <c r="J40" s="936"/>
      <c r="K40" s="930"/>
      <c r="L40" s="936"/>
      <c r="M40" s="930"/>
      <c r="N40" s="936"/>
      <c r="O40" s="930"/>
      <c r="P40" s="910"/>
      <c r="Q40" s="143"/>
      <c r="R40" s="144"/>
    </row>
    <row r="41" spans="2:18" s="145" customFormat="1" ht="6.75" customHeight="1">
      <c r="B41" s="924"/>
      <c r="C41" s="926"/>
      <c r="D41" s="928"/>
      <c r="E41" s="930"/>
      <c r="F41" s="932"/>
      <c r="G41" s="934"/>
      <c r="H41" s="936"/>
      <c r="I41" s="930"/>
      <c r="J41" s="936"/>
      <c r="K41" s="930"/>
      <c r="L41" s="936"/>
      <c r="M41" s="930"/>
      <c r="N41" s="936"/>
      <c r="O41" s="930"/>
      <c r="P41" s="910"/>
      <c r="Q41" s="143"/>
      <c r="R41" s="144"/>
    </row>
    <row r="42" spans="2:18" s="145" customFormat="1" ht="6.75" customHeight="1" thickBot="1">
      <c r="B42" s="925"/>
      <c r="C42" s="927"/>
      <c r="D42" s="929"/>
      <c r="E42" s="931"/>
      <c r="F42" s="933"/>
      <c r="G42" s="935"/>
      <c r="H42" s="937"/>
      <c r="I42" s="931"/>
      <c r="J42" s="937"/>
      <c r="K42" s="931"/>
      <c r="L42" s="937"/>
      <c r="M42" s="931"/>
      <c r="N42" s="937"/>
      <c r="O42" s="931"/>
      <c r="P42" s="911"/>
      <c r="Q42" s="143"/>
      <c r="R42" s="144"/>
    </row>
    <row r="43" spans="2:18" s="145" customFormat="1" ht="84.75" customHeight="1" thickBot="1">
      <c r="B43" s="182" t="s">
        <v>244</v>
      </c>
      <c r="C43" s="183" t="s">
        <v>245</v>
      </c>
      <c r="D43" s="184" t="s">
        <v>223</v>
      </c>
      <c r="E43" s="185">
        <v>3439600</v>
      </c>
      <c r="F43" s="186">
        <v>12268600</v>
      </c>
      <c r="G43" s="187"/>
      <c r="H43" s="188"/>
      <c r="I43" s="189">
        <f>+H43</f>
        <v>0</v>
      </c>
      <c r="J43" s="190"/>
      <c r="K43" s="189"/>
      <c r="L43" s="190"/>
      <c r="M43" s="189">
        <f>+F43-I43</f>
        <v>12268600</v>
      </c>
      <c r="N43" s="190">
        <v>2919927</v>
      </c>
      <c r="O43" s="189">
        <f t="shared" ref="O43" si="0">+M43+N43</f>
        <v>15188527</v>
      </c>
      <c r="P43" s="191" t="s">
        <v>246</v>
      </c>
      <c r="Q43" s="143"/>
      <c r="R43" s="144"/>
    </row>
    <row r="44" spans="2:18" s="145" customFormat="1" ht="17.25" customHeight="1" thickBot="1">
      <c r="B44" s="950" t="s">
        <v>247</v>
      </c>
      <c r="C44" s="950" t="s">
        <v>248</v>
      </c>
      <c r="D44" s="951" t="s">
        <v>234</v>
      </c>
      <c r="E44" s="952">
        <f>2156700+279000+891000</f>
        <v>3326700</v>
      </c>
      <c r="F44" s="953">
        <v>6832700</v>
      </c>
      <c r="G44" s="192" t="s">
        <v>249</v>
      </c>
      <c r="H44" s="186">
        <v>950000</v>
      </c>
      <c r="I44" s="952">
        <f>+SUM(H44:H49)</f>
        <v>2350000</v>
      </c>
      <c r="J44" s="193">
        <f>662110+129000+15000</f>
        <v>806110</v>
      </c>
      <c r="K44" s="194">
        <v>120916</v>
      </c>
      <c r="L44" s="193">
        <v>22974</v>
      </c>
      <c r="M44" s="952">
        <f>+F44-J44-J45-J46-J47-J48-J49</f>
        <v>4808347</v>
      </c>
      <c r="N44" s="952">
        <f>1024905+194732-K44-L44-K46-L46-K47-L47-K48-L48-K49-L49</f>
        <v>893990</v>
      </c>
      <c r="O44" s="952">
        <f>+M44+N44</f>
        <v>5702337</v>
      </c>
      <c r="P44" s="909" t="s">
        <v>250</v>
      </c>
      <c r="Q44" s="143"/>
      <c r="R44" s="144"/>
    </row>
    <row r="45" spans="2:18" s="145" customFormat="1" ht="17.25" customHeight="1" thickBot="1">
      <c r="B45" s="926"/>
      <c r="C45" s="926"/>
      <c r="D45" s="928"/>
      <c r="E45" s="930"/>
      <c r="F45" s="954"/>
      <c r="G45" s="195" t="s">
        <v>217</v>
      </c>
      <c r="H45" s="196">
        <v>200000</v>
      </c>
      <c r="I45" s="930"/>
      <c r="J45" s="197">
        <v>200000</v>
      </c>
      <c r="K45" s="198"/>
      <c r="L45" s="185"/>
      <c r="M45" s="930"/>
      <c r="N45" s="930"/>
      <c r="O45" s="930"/>
      <c r="P45" s="910"/>
      <c r="Q45" s="143"/>
      <c r="R45" s="144"/>
    </row>
    <row r="46" spans="2:18" s="145" customFormat="1" ht="17.25" customHeight="1" thickBot="1">
      <c r="B46" s="926"/>
      <c r="C46" s="926"/>
      <c r="D46" s="928"/>
      <c r="E46" s="930"/>
      <c r="F46" s="954"/>
      <c r="G46" s="192" t="s">
        <v>251</v>
      </c>
      <c r="H46" s="196">
        <v>200000</v>
      </c>
      <c r="I46" s="930"/>
      <c r="J46" s="197">
        <f>+H46-K46-L46</f>
        <v>169707</v>
      </c>
      <c r="K46" s="198">
        <v>25456</v>
      </c>
      <c r="L46" s="199">
        <v>4837</v>
      </c>
      <c r="M46" s="930"/>
      <c r="N46" s="930"/>
      <c r="O46" s="930"/>
      <c r="P46" s="910"/>
      <c r="Q46" s="143"/>
      <c r="R46" s="144"/>
    </row>
    <row r="47" spans="2:18" s="145" customFormat="1" ht="17.25" customHeight="1" thickBot="1">
      <c r="B47" s="926"/>
      <c r="C47" s="926"/>
      <c r="D47" s="928"/>
      <c r="E47" s="930"/>
      <c r="F47" s="954"/>
      <c r="G47" s="200" t="s">
        <v>252</v>
      </c>
      <c r="H47" s="186">
        <v>200000</v>
      </c>
      <c r="I47" s="930"/>
      <c r="J47" s="193">
        <v>169707</v>
      </c>
      <c r="K47" s="194">
        <v>25456</v>
      </c>
      <c r="L47" s="193">
        <v>4837</v>
      </c>
      <c r="M47" s="930"/>
      <c r="N47" s="930"/>
      <c r="O47" s="930"/>
      <c r="P47" s="910"/>
      <c r="Q47" s="143"/>
      <c r="R47" s="144"/>
    </row>
    <row r="48" spans="2:18" s="145" customFormat="1" ht="17.25" customHeight="1" thickBot="1">
      <c r="B48" s="926"/>
      <c r="C48" s="926"/>
      <c r="D48" s="928"/>
      <c r="E48" s="930"/>
      <c r="F48" s="954"/>
      <c r="G48" s="200" t="s">
        <v>253</v>
      </c>
      <c r="H48" s="186">
        <v>300000</v>
      </c>
      <c r="I48" s="930"/>
      <c r="J48" s="193">
        <v>254561</v>
      </c>
      <c r="K48" s="194">
        <v>38184</v>
      </c>
      <c r="L48" s="193">
        <v>7255</v>
      </c>
      <c r="M48" s="930"/>
      <c r="N48" s="930"/>
      <c r="O48" s="930"/>
      <c r="P48" s="910"/>
      <c r="Q48" s="143"/>
      <c r="R48" s="144"/>
    </row>
    <row r="49" spans="2:18" s="145" customFormat="1" ht="17.25" customHeight="1" thickBot="1">
      <c r="B49" s="927"/>
      <c r="C49" s="927"/>
      <c r="D49" s="929"/>
      <c r="E49" s="931"/>
      <c r="F49" s="955"/>
      <c r="G49" s="200" t="s">
        <v>254</v>
      </c>
      <c r="H49" s="186">
        <v>500000</v>
      </c>
      <c r="I49" s="931"/>
      <c r="J49" s="193">
        <v>424268</v>
      </c>
      <c r="K49" s="194">
        <v>63640</v>
      </c>
      <c r="L49" s="193">
        <v>12092</v>
      </c>
      <c r="M49" s="931"/>
      <c r="N49" s="931"/>
      <c r="O49" s="931"/>
      <c r="P49" s="911"/>
      <c r="Q49" s="143"/>
      <c r="R49" s="144"/>
    </row>
    <row r="50" spans="2:18" s="145" customFormat="1" ht="26.25" thickBot="1">
      <c r="B50" s="201" t="s">
        <v>255</v>
      </c>
      <c r="C50" s="201" t="s">
        <v>256</v>
      </c>
      <c r="D50" s="202" t="s">
        <v>213</v>
      </c>
      <c r="E50" s="203"/>
      <c r="F50" s="203"/>
      <c r="G50" s="204"/>
      <c r="H50" s="205"/>
      <c r="I50" s="206"/>
      <c r="J50" s="205"/>
      <c r="K50" s="206"/>
      <c r="L50" s="205"/>
      <c r="M50" s="206"/>
      <c r="N50" s="205"/>
      <c r="O50" s="206"/>
      <c r="P50" s="207" t="s">
        <v>257</v>
      </c>
      <c r="Q50" s="143"/>
      <c r="R50" s="144"/>
    </row>
    <row r="51" spans="2:18" s="145" customFormat="1" ht="12" customHeight="1">
      <c r="B51" s="938" t="s">
        <v>258</v>
      </c>
      <c r="C51" s="938" t="s">
        <v>259</v>
      </c>
      <c r="D51" s="941" t="s">
        <v>223</v>
      </c>
      <c r="E51" s="944">
        <v>3792400</v>
      </c>
      <c r="F51" s="944">
        <f>9578600+1161000+2856900+30284</f>
        <v>13626784</v>
      </c>
      <c r="G51" s="208" t="s">
        <v>217</v>
      </c>
      <c r="H51" s="208">
        <v>500000</v>
      </c>
      <c r="I51" s="947">
        <f>+H51+H52+H53+H54</f>
        <v>13454866</v>
      </c>
      <c r="J51" s="209">
        <v>410750</v>
      </c>
      <c r="K51" s="210">
        <v>75000</v>
      </c>
      <c r="L51" s="208">
        <v>14250</v>
      </c>
      <c r="M51" s="947">
        <f>F51-J51-J52-J53-J55</f>
        <v>0</v>
      </c>
      <c r="N51" s="947">
        <f>1659116-K51-L51-K54-L54</f>
        <v>0.14999999999417923</v>
      </c>
      <c r="O51" s="947">
        <f>+M51+N51</f>
        <v>0.14999999999417923</v>
      </c>
      <c r="P51" s="962" t="s">
        <v>260</v>
      </c>
      <c r="Q51" s="143"/>
      <c r="R51" s="144"/>
    </row>
    <row r="52" spans="2:18" s="145" customFormat="1" ht="15" customHeight="1">
      <c r="B52" s="939"/>
      <c r="C52" s="939"/>
      <c r="D52" s="942"/>
      <c r="E52" s="945"/>
      <c r="F52" s="945"/>
      <c r="G52" s="211" t="s">
        <v>261</v>
      </c>
      <c r="H52" s="211">
        <v>11000000</v>
      </c>
      <c r="I52" s="948"/>
      <c r="J52" s="212">
        <v>11000000</v>
      </c>
      <c r="K52" s="213"/>
      <c r="L52" s="211"/>
      <c r="M52" s="948"/>
      <c r="N52" s="948"/>
      <c r="O52" s="948"/>
      <c r="P52" s="963"/>
      <c r="Q52" s="143"/>
      <c r="R52" s="144"/>
    </row>
    <row r="53" spans="2:18" s="145" customFormat="1" ht="15" customHeight="1">
      <c r="B53" s="939"/>
      <c r="C53" s="939"/>
      <c r="D53" s="942"/>
      <c r="E53" s="945"/>
      <c r="F53" s="945"/>
      <c r="G53" s="211" t="s">
        <v>261</v>
      </c>
      <c r="H53" s="211">
        <v>385000</v>
      </c>
      <c r="I53" s="948"/>
      <c r="J53" s="212">
        <v>385000</v>
      </c>
      <c r="K53" s="213"/>
      <c r="L53" s="211"/>
      <c r="M53" s="948"/>
      <c r="N53" s="948"/>
      <c r="O53" s="948"/>
      <c r="P53" s="963"/>
      <c r="Q53" s="143"/>
      <c r="R53" s="144"/>
    </row>
    <row r="54" spans="2:18" s="145" customFormat="1" ht="15.75" customHeight="1">
      <c r="B54" s="939"/>
      <c r="C54" s="939"/>
      <c r="D54" s="942"/>
      <c r="E54" s="945"/>
      <c r="F54" s="945"/>
      <c r="G54" s="211"/>
      <c r="H54" s="211">
        <v>1569866</v>
      </c>
      <c r="I54" s="948"/>
      <c r="J54" s="212"/>
      <c r="K54" s="213">
        <v>1319215</v>
      </c>
      <c r="L54" s="211">
        <f>+K54*0.19</f>
        <v>250650.85</v>
      </c>
      <c r="M54" s="948"/>
      <c r="N54" s="948"/>
      <c r="O54" s="948"/>
      <c r="P54" s="963"/>
      <c r="Q54" s="143"/>
      <c r="R54" s="144"/>
    </row>
    <row r="55" spans="2:18" s="145" customFormat="1" ht="15.75" customHeight="1" thickBot="1">
      <c r="B55" s="940"/>
      <c r="C55" s="940"/>
      <c r="D55" s="943"/>
      <c r="E55" s="946"/>
      <c r="F55" s="946"/>
      <c r="G55" s="214"/>
      <c r="H55" s="215">
        <v>1831034</v>
      </c>
      <c r="I55" s="949"/>
      <c r="J55" s="216">
        <v>1831034</v>
      </c>
      <c r="K55" s="217"/>
      <c r="L55" s="218"/>
      <c r="M55" s="949"/>
      <c r="N55" s="949"/>
      <c r="O55" s="949"/>
      <c r="P55" s="964"/>
      <c r="Q55" s="143"/>
      <c r="R55" s="144"/>
    </row>
    <row r="56" spans="2:18" s="145" customFormat="1" ht="17.25" customHeight="1">
      <c r="B56" s="965" t="s">
        <v>262</v>
      </c>
      <c r="C56" s="938" t="s">
        <v>263</v>
      </c>
      <c r="D56" s="967" t="s">
        <v>242</v>
      </c>
      <c r="E56" s="956">
        <v>1845600</v>
      </c>
      <c r="F56" s="969">
        <v>7500950</v>
      </c>
      <c r="G56" s="971" t="s">
        <v>264</v>
      </c>
      <c r="H56" s="958">
        <v>8681798</v>
      </c>
      <c r="I56" s="956">
        <f>+H56+H57</f>
        <v>8681798</v>
      </c>
      <c r="J56" s="958">
        <v>7500950</v>
      </c>
      <c r="K56" s="956">
        <v>979343</v>
      </c>
      <c r="L56" s="958">
        <f>+K56*0.19</f>
        <v>186075.17</v>
      </c>
      <c r="M56" s="956">
        <f>+F56-J56</f>
        <v>0</v>
      </c>
      <c r="N56" s="958">
        <f>979343+186075-K56-L56</f>
        <v>-0.17000000001280569</v>
      </c>
      <c r="O56" s="956">
        <f>+M56+N56</f>
        <v>-0.17000000001280569</v>
      </c>
      <c r="P56" s="960" t="s">
        <v>265</v>
      </c>
      <c r="Q56" s="143"/>
      <c r="R56" s="144"/>
    </row>
    <row r="57" spans="2:18" s="145" customFormat="1" ht="17.25" customHeight="1" thickBot="1">
      <c r="B57" s="966"/>
      <c r="C57" s="940"/>
      <c r="D57" s="968"/>
      <c r="E57" s="957"/>
      <c r="F57" s="970"/>
      <c r="G57" s="972"/>
      <c r="H57" s="959"/>
      <c r="I57" s="957"/>
      <c r="J57" s="959"/>
      <c r="K57" s="957"/>
      <c r="L57" s="959"/>
      <c r="M57" s="957"/>
      <c r="N57" s="959"/>
      <c r="O57" s="957"/>
      <c r="P57" s="961"/>
      <c r="Q57" s="143"/>
      <c r="R57" s="144"/>
    </row>
    <row r="58" spans="2:18" s="145" customFormat="1" ht="39" thickBot="1">
      <c r="B58" s="219" t="s">
        <v>266</v>
      </c>
      <c r="C58" s="220" t="s">
        <v>267</v>
      </c>
      <c r="D58" s="221" t="s">
        <v>213</v>
      </c>
      <c r="E58" s="222">
        <v>2976900</v>
      </c>
      <c r="F58" s="223">
        <v>2976900</v>
      </c>
      <c r="G58" s="224"/>
      <c r="H58" s="225">
        <v>3276900</v>
      </c>
      <c r="I58" s="222">
        <f>+H58</f>
        <v>3276900</v>
      </c>
      <c r="J58" s="226">
        <v>2976900</v>
      </c>
      <c r="K58" s="227">
        <v>252101</v>
      </c>
      <c r="L58" s="226">
        <v>47899</v>
      </c>
      <c r="M58" s="222">
        <f>+F58-J58</f>
        <v>0</v>
      </c>
      <c r="N58" s="225">
        <f>300000-K58-L58</f>
        <v>0</v>
      </c>
      <c r="O58" s="222">
        <f>+M58+N58</f>
        <v>0</v>
      </c>
      <c r="P58" s="207" t="s">
        <v>268</v>
      </c>
      <c r="Q58" s="143"/>
      <c r="R58" s="144"/>
    </row>
    <row r="59" spans="2:18" s="145" customFormat="1" ht="26.25" thickBot="1">
      <c r="B59" s="228" t="s">
        <v>269</v>
      </c>
      <c r="C59" s="229" t="s">
        <v>270</v>
      </c>
      <c r="D59" s="230" t="s">
        <v>213</v>
      </c>
      <c r="E59" s="231"/>
      <c r="F59" s="232"/>
      <c r="G59" s="233"/>
      <c r="H59" s="232"/>
      <c r="I59" s="231"/>
      <c r="J59" s="232"/>
      <c r="K59" s="231"/>
      <c r="L59" s="232"/>
      <c r="M59" s="231"/>
      <c r="N59" s="232"/>
      <c r="O59" s="231"/>
      <c r="P59" s="234" t="s">
        <v>257</v>
      </c>
      <c r="Q59" s="143"/>
      <c r="R59" s="144"/>
    </row>
    <row r="60" spans="2:18" s="145" customFormat="1" ht="48.75" thickBot="1">
      <c r="B60" s="219" t="s">
        <v>271</v>
      </c>
      <c r="C60" s="220" t="s">
        <v>272</v>
      </c>
      <c r="D60" s="235" t="s">
        <v>242</v>
      </c>
      <c r="E60" s="222">
        <v>3517200</v>
      </c>
      <c r="F60" s="225">
        <f>7205800+864000</f>
        <v>8069800</v>
      </c>
      <c r="G60" s="236" t="s">
        <v>273</v>
      </c>
      <c r="H60" s="225">
        <v>9069800</v>
      </c>
      <c r="I60" s="222">
        <f>+H60</f>
        <v>9069800</v>
      </c>
      <c r="J60" s="225">
        <v>8069800</v>
      </c>
      <c r="K60" s="222">
        <v>840336</v>
      </c>
      <c r="L60" s="225">
        <f>+K60*0.19</f>
        <v>159663.84</v>
      </c>
      <c r="M60" s="222">
        <f>+F60-J60</f>
        <v>0</v>
      </c>
      <c r="N60" s="225">
        <f>1000000-K60-L60</f>
        <v>0.16000000000349246</v>
      </c>
      <c r="O60" s="222">
        <f t="shared" ref="O60:O68" si="1">+M60+N60</f>
        <v>0.16000000000349246</v>
      </c>
      <c r="P60" s="207" t="s">
        <v>274</v>
      </c>
      <c r="Q60" s="143"/>
      <c r="R60" s="144"/>
    </row>
    <row r="61" spans="2:18" s="145" customFormat="1" ht="12.75" thickBot="1">
      <c r="B61" s="938" t="s">
        <v>275</v>
      </c>
      <c r="C61" s="938" t="s">
        <v>276</v>
      </c>
      <c r="D61" s="980" t="s">
        <v>213</v>
      </c>
      <c r="E61" s="956">
        <v>2666500</v>
      </c>
      <c r="F61" s="956">
        <v>3970000</v>
      </c>
      <c r="G61" s="236" t="s">
        <v>277</v>
      </c>
      <c r="H61" s="225">
        <v>1500000</v>
      </c>
      <c r="I61" s="956">
        <f>+SUM(H61:H65)</f>
        <v>5200000</v>
      </c>
      <c r="J61" s="225">
        <f>+H61-K61-L61</f>
        <v>1265000</v>
      </c>
      <c r="K61" s="222">
        <v>197479</v>
      </c>
      <c r="L61" s="225">
        <v>37521</v>
      </c>
      <c r="M61" s="956">
        <f>+F61-J61-J62-J63-J64-J65</f>
        <v>-521354</v>
      </c>
      <c r="N61" s="956">
        <f>595500+113145-K61-L61-K62-L62-K63-L63-K64-L64-K65-L65</f>
        <v>-0.54999999998835847</v>
      </c>
      <c r="O61" s="956">
        <f>+M61+N61</f>
        <v>-521354.55</v>
      </c>
      <c r="P61" s="977" t="s">
        <v>278</v>
      </c>
      <c r="Q61" s="143"/>
      <c r="R61" s="144"/>
    </row>
    <row r="62" spans="2:18" s="145" customFormat="1" ht="12.75" thickBot="1">
      <c r="B62" s="939"/>
      <c r="C62" s="939"/>
      <c r="D62" s="981"/>
      <c r="E62" s="975"/>
      <c r="F62" s="975"/>
      <c r="G62" s="236" t="s">
        <v>279</v>
      </c>
      <c r="H62" s="225">
        <v>1400000</v>
      </c>
      <c r="I62" s="975"/>
      <c r="J62" s="225">
        <v>1187950</v>
      </c>
      <c r="K62" s="222">
        <v>178193</v>
      </c>
      <c r="L62" s="225">
        <f>+K62*0.19</f>
        <v>33856.67</v>
      </c>
      <c r="M62" s="975"/>
      <c r="N62" s="975"/>
      <c r="O62" s="975"/>
      <c r="P62" s="978"/>
      <c r="Q62" s="143"/>
      <c r="R62" s="144"/>
    </row>
    <row r="63" spans="2:18" s="145" customFormat="1" ht="12.75" thickBot="1">
      <c r="B63" s="939"/>
      <c r="C63" s="939"/>
      <c r="D63" s="981"/>
      <c r="E63" s="975"/>
      <c r="F63" s="975"/>
      <c r="G63" s="236" t="s">
        <v>280</v>
      </c>
      <c r="H63" s="225">
        <v>900000</v>
      </c>
      <c r="I63" s="975"/>
      <c r="J63" s="225">
        <v>763683</v>
      </c>
      <c r="K63" s="222">
        <v>114552</v>
      </c>
      <c r="L63" s="225">
        <f>+K63*0.19</f>
        <v>21764.880000000001</v>
      </c>
      <c r="M63" s="975"/>
      <c r="N63" s="975"/>
      <c r="O63" s="975"/>
      <c r="P63" s="978"/>
      <c r="Q63" s="143"/>
      <c r="R63" s="144"/>
    </row>
    <row r="64" spans="2:18" s="145" customFormat="1" ht="12.75" thickBot="1">
      <c r="B64" s="939"/>
      <c r="C64" s="939"/>
      <c r="D64" s="981"/>
      <c r="E64" s="975"/>
      <c r="F64" s="975"/>
      <c r="G64" s="236" t="s">
        <v>281</v>
      </c>
      <c r="H64" s="225">
        <v>500000</v>
      </c>
      <c r="I64" s="975"/>
      <c r="J64" s="225">
        <v>424268</v>
      </c>
      <c r="K64" s="222">
        <v>63640</v>
      </c>
      <c r="L64" s="225">
        <v>12092</v>
      </c>
      <c r="M64" s="975"/>
      <c r="N64" s="975"/>
      <c r="O64" s="975"/>
      <c r="P64" s="978"/>
      <c r="Q64" s="143"/>
      <c r="R64" s="144"/>
    </row>
    <row r="65" spans="2:25" s="145" customFormat="1" ht="12.75" thickBot="1">
      <c r="B65" s="940"/>
      <c r="C65" s="940"/>
      <c r="D65" s="982"/>
      <c r="E65" s="957"/>
      <c r="F65" s="957"/>
      <c r="G65" s="236" t="s">
        <v>282</v>
      </c>
      <c r="H65" s="225">
        <v>900000</v>
      </c>
      <c r="I65" s="957"/>
      <c r="J65" s="225">
        <v>850453</v>
      </c>
      <c r="K65" s="222">
        <v>41636</v>
      </c>
      <c r="L65" s="225">
        <v>7911</v>
      </c>
      <c r="M65" s="957"/>
      <c r="N65" s="957"/>
      <c r="O65" s="957"/>
      <c r="P65" s="979"/>
      <c r="Q65" s="143"/>
      <c r="R65" s="144"/>
    </row>
    <row r="66" spans="2:25" s="145" customFormat="1" ht="27" customHeight="1" thickBot="1">
      <c r="B66" s="219" t="s">
        <v>283</v>
      </c>
      <c r="C66" s="220" t="s">
        <v>284</v>
      </c>
      <c r="D66" s="235" t="s">
        <v>234</v>
      </c>
      <c r="E66" s="222">
        <v>2034000</v>
      </c>
      <c r="F66" s="225">
        <v>2034000</v>
      </c>
      <c r="G66" s="236" t="s">
        <v>285</v>
      </c>
      <c r="H66" s="225">
        <v>2200000</v>
      </c>
      <c r="I66" s="222">
        <f>+H66</f>
        <v>2200000</v>
      </c>
      <c r="J66" s="225">
        <v>2034000</v>
      </c>
      <c r="K66" s="222">
        <v>139496</v>
      </c>
      <c r="L66" s="225">
        <v>26504</v>
      </c>
      <c r="M66" s="222">
        <f>+F66-J66</f>
        <v>0</v>
      </c>
      <c r="N66" s="225">
        <f>139496+26504-K66-L66</f>
        <v>0</v>
      </c>
      <c r="O66" s="222">
        <f t="shared" si="1"/>
        <v>0</v>
      </c>
      <c r="P66" s="207" t="s">
        <v>286</v>
      </c>
      <c r="Q66" s="143"/>
      <c r="R66" s="144"/>
    </row>
    <row r="67" spans="2:25" s="145" customFormat="1" ht="17.25" customHeight="1" thickBot="1">
      <c r="B67" s="219" t="s">
        <v>287</v>
      </c>
      <c r="C67" s="220" t="s">
        <v>288</v>
      </c>
      <c r="D67" s="235" t="s">
        <v>234</v>
      </c>
      <c r="E67" s="222">
        <v>1987900</v>
      </c>
      <c r="F67" s="225">
        <v>1987900</v>
      </c>
      <c r="G67" s="236" t="s">
        <v>289</v>
      </c>
      <c r="H67" s="225">
        <v>2227151</v>
      </c>
      <c r="I67" s="222">
        <f>+H67</f>
        <v>2227151</v>
      </c>
      <c r="J67" s="225">
        <v>1987900</v>
      </c>
      <c r="K67" s="222">
        <v>201051</v>
      </c>
      <c r="L67" s="225">
        <v>38200</v>
      </c>
      <c r="M67" s="222">
        <f>+F67-J67</f>
        <v>0</v>
      </c>
      <c r="N67" s="225">
        <f>201051+38200-K67-L67</f>
        <v>0</v>
      </c>
      <c r="O67" s="222">
        <f t="shared" si="1"/>
        <v>0</v>
      </c>
      <c r="P67" s="207" t="s">
        <v>290</v>
      </c>
      <c r="Q67" s="143"/>
      <c r="R67" s="144"/>
    </row>
    <row r="68" spans="2:25" s="145" customFormat="1" ht="17.25" customHeight="1" thickBot="1">
      <c r="B68" s="219" t="s">
        <v>291</v>
      </c>
      <c r="C68" s="220" t="s">
        <v>292</v>
      </c>
      <c r="D68" s="235" t="s">
        <v>213</v>
      </c>
      <c r="E68" s="222">
        <v>3410300</v>
      </c>
      <c r="F68" s="225">
        <v>4095500</v>
      </c>
      <c r="G68" s="236" t="s">
        <v>293</v>
      </c>
      <c r="H68" s="225">
        <v>4826547</v>
      </c>
      <c r="I68" s="237">
        <f>+H68</f>
        <v>4826547</v>
      </c>
      <c r="J68" s="238">
        <v>4095500</v>
      </c>
      <c r="K68" s="237">
        <v>614325</v>
      </c>
      <c r="L68" s="238">
        <v>116722</v>
      </c>
      <c r="M68" s="237">
        <f>+F68-J68</f>
        <v>0</v>
      </c>
      <c r="N68" s="238">
        <f>614325+116722-K68-L68</f>
        <v>0</v>
      </c>
      <c r="O68" s="237">
        <f t="shared" si="1"/>
        <v>0</v>
      </c>
      <c r="P68" s="239" t="s">
        <v>294</v>
      </c>
      <c r="Q68" s="143"/>
      <c r="R68" s="144"/>
    </row>
    <row r="69" spans="2:25" s="145" customFormat="1" ht="14.25" customHeight="1">
      <c r="B69" s="938" t="s">
        <v>295</v>
      </c>
      <c r="C69" s="938" t="s">
        <v>296</v>
      </c>
      <c r="D69" s="980" t="s">
        <v>223</v>
      </c>
      <c r="E69" s="956">
        <v>1199400</v>
      </c>
      <c r="F69" s="958">
        <v>4296338</v>
      </c>
      <c r="G69" s="240" t="s">
        <v>297</v>
      </c>
      <c r="H69" s="241">
        <v>1100000</v>
      </c>
      <c r="I69" s="956">
        <f>+SUM(H69:H74)</f>
        <v>5062300</v>
      </c>
      <c r="J69" s="242">
        <v>903650</v>
      </c>
      <c r="K69" s="242">
        <v>165000</v>
      </c>
      <c r="L69" s="243">
        <f t="shared" ref="L69:L74" si="2">+K69*0.19</f>
        <v>31350</v>
      </c>
      <c r="M69" s="956">
        <f>+F69-J69-J70-J71-J72-J73-J74</f>
        <v>934</v>
      </c>
      <c r="N69" s="976">
        <f>766896-L69-K69-K70-L70-K71-L71-K72-L72-K73-L73-K74-L74</f>
        <v>-0.69000000001688022</v>
      </c>
      <c r="O69" s="956"/>
      <c r="P69" s="977" t="s">
        <v>298</v>
      </c>
      <c r="Q69" s="143"/>
      <c r="R69" s="144"/>
    </row>
    <row r="70" spans="2:25" s="145" customFormat="1" ht="14.25" customHeight="1">
      <c r="B70" s="939"/>
      <c r="C70" s="939"/>
      <c r="D70" s="981"/>
      <c r="E70" s="975"/>
      <c r="F70" s="983"/>
      <c r="G70" s="244" t="s">
        <v>299</v>
      </c>
      <c r="H70" s="245">
        <v>1400000</v>
      </c>
      <c r="I70" s="975"/>
      <c r="J70" s="246">
        <v>1297351</v>
      </c>
      <c r="K70" s="246">
        <v>86260</v>
      </c>
      <c r="L70" s="243">
        <f t="shared" si="2"/>
        <v>16389.400000000001</v>
      </c>
      <c r="M70" s="975"/>
      <c r="N70" s="975"/>
      <c r="O70" s="975"/>
      <c r="P70" s="978"/>
      <c r="Q70" s="143"/>
      <c r="R70" s="144"/>
    </row>
    <row r="71" spans="2:25" s="145" customFormat="1" ht="14.25" customHeight="1">
      <c r="B71" s="939"/>
      <c r="C71" s="939"/>
      <c r="D71" s="981"/>
      <c r="E71" s="975"/>
      <c r="F71" s="983"/>
      <c r="G71" s="244" t="s">
        <v>300</v>
      </c>
      <c r="H71" s="245">
        <v>936000</v>
      </c>
      <c r="I71" s="975"/>
      <c r="J71" s="246">
        <v>768924</v>
      </c>
      <c r="K71" s="246">
        <v>140400</v>
      </c>
      <c r="L71" s="243">
        <f t="shared" si="2"/>
        <v>26676</v>
      </c>
      <c r="M71" s="975"/>
      <c r="N71" s="975"/>
      <c r="O71" s="975"/>
      <c r="P71" s="978"/>
      <c r="Q71" s="143"/>
      <c r="R71" s="144"/>
    </row>
    <row r="72" spans="2:25" s="145" customFormat="1" ht="14.25" customHeight="1">
      <c r="B72" s="939"/>
      <c r="C72" s="939"/>
      <c r="D72" s="981"/>
      <c r="E72" s="975"/>
      <c r="F72" s="983"/>
      <c r="G72" s="244" t="s">
        <v>301</v>
      </c>
      <c r="H72" s="245">
        <v>800000</v>
      </c>
      <c r="I72" s="975"/>
      <c r="J72" s="246">
        <v>678829</v>
      </c>
      <c r="K72" s="246">
        <v>101824</v>
      </c>
      <c r="L72" s="243">
        <f t="shared" si="2"/>
        <v>19346.560000000001</v>
      </c>
      <c r="M72" s="975"/>
      <c r="N72" s="975"/>
      <c r="O72" s="975"/>
      <c r="P72" s="978"/>
      <c r="Q72" s="143"/>
      <c r="R72" s="144"/>
    </row>
    <row r="73" spans="2:25" s="145" customFormat="1" ht="14.25" customHeight="1">
      <c r="B73" s="939"/>
      <c r="C73" s="939"/>
      <c r="D73" s="981"/>
      <c r="E73" s="975"/>
      <c r="F73" s="983"/>
      <c r="G73" s="244" t="s">
        <v>302</v>
      </c>
      <c r="H73" s="245">
        <v>624000</v>
      </c>
      <c r="I73" s="975"/>
      <c r="J73" s="246">
        <v>529487</v>
      </c>
      <c r="K73" s="246">
        <v>79423</v>
      </c>
      <c r="L73" s="243">
        <f t="shared" si="2"/>
        <v>15090.37</v>
      </c>
      <c r="M73" s="975"/>
      <c r="N73" s="975"/>
      <c r="O73" s="975"/>
      <c r="P73" s="978"/>
      <c r="Q73" s="143"/>
      <c r="R73" s="144"/>
    </row>
    <row r="74" spans="2:25" s="145" customFormat="1" ht="14.25" customHeight="1" thickBot="1">
      <c r="B74" s="940"/>
      <c r="C74" s="940"/>
      <c r="D74" s="982"/>
      <c r="E74" s="957"/>
      <c r="F74" s="959"/>
      <c r="G74" s="247" t="s">
        <v>229</v>
      </c>
      <c r="H74" s="248">
        <v>202300</v>
      </c>
      <c r="I74" s="957"/>
      <c r="J74" s="231">
        <v>117163</v>
      </c>
      <c r="K74" s="231">
        <v>71544</v>
      </c>
      <c r="L74" s="249">
        <f t="shared" si="2"/>
        <v>13593.36</v>
      </c>
      <c r="M74" s="957"/>
      <c r="N74" s="957"/>
      <c r="O74" s="957"/>
      <c r="P74" s="979"/>
      <c r="Q74" s="143"/>
      <c r="R74" s="144"/>
    </row>
    <row r="75" spans="2:25" s="145" customFormat="1" ht="15" customHeight="1">
      <c r="C75" s="250"/>
      <c r="D75" s="250"/>
      <c r="E75" s="251"/>
      <c r="F75" s="251"/>
      <c r="G75" s="250"/>
      <c r="H75" s="252"/>
      <c r="I75" s="252"/>
      <c r="J75" s="252"/>
      <c r="K75" s="252"/>
      <c r="L75" s="253"/>
      <c r="M75" s="254"/>
      <c r="N75" s="255"/>
      <c r="O75" s="256"/>
      <c r="P75" s="250"/>
      <c r="Q75" s="144"/>
      <c r="R75" s="143"/>
      <c r="S75" s="144"/>
    </row>
    <row r="76" spans="2:25" s="145" customFormat="1" ht="15" customHeight="1">
      <c r="C76" s="250"/>
      <c r="D76" s="250"/>
      <c r="E76" s="251"/>
      <c r="F76" s="251"/>
      <c r="G76" s="257"/>
      <c r="H76" s="258"/>
      <c r="I76" s="258"/>
      <c r="J76" s="258"/>
      <c r="K76" s="258"/>
      <c r="L76" s="259"/>
      <c r="M76" s="260"/>
      <c r="N76" s="261"/>
      <c r="O76" s="261"/>
      <c r="P76" s="250"/>
      <c r="Q76" s="144"/>
      <c r="R76" s="143"/>
      <c r="S76" s="144"/>
    </row>
    <row r="77" spans="2:25" s="145" customFormat="1" ht="15" customHeight="1">
      <c r="C77" s="250"/>
      <c r="D77" s="250"/>
      <c r="E77" s="251"/>
      <c r="F77" s="251"/>
      <c r="G77" s="257"/>
      <c r="H77" s="258"/>
      <c r="I77" s="258"/>
      <c r="J77" s="258"/>
      <c r="K77" s="258"/>
      <c r="L77" s="259"/>
      <c r="M77" s="260"/>
      <c r="N77" s="261"/>
      <c r="O77" s="261"/>
      <c r="P77" s="250"/>
      <c r="Q77" s="144"/>
      <c r="R77" s="143"/>
      <c r="S77" s="144"/>
    </row>
    <row r="78" spans="2:25" s="270" customFormat="1" ht="14.25" customHeight="1">
      <c r="B78" s="973" t="s">
        <v>303</v>
      </c>
      <c r="C78" s="973"/>
      <c r="D78" s="973"/>
      <c r="E78" s="973"/>
      <c r="F78" s="262"/>
      <c r="G78" s="263"/>
      <c r="H78" s="264"/>
      <c r="I78" s="264"/>
      <c r="J78" s="264"/>
      <c r="K78" s="264"/>
      <c r="L78" s="265"/>
      <c r="M78" s="266"/>
      <c r="N78" s="266"/>
      <c r="O78" s="974" t="s">
        <v>304</v>
      </c>
      <c r="P78" s="974"/>
      <c r="Q78" s="267"/>
      <c r="R78" s="268"/>
      <c r="S78" s="269"/>
    </row>
    <row r="79" spans="2:25" ht="15" customHeight="1">
      <c r="B79" s="973" t="s">
        <v>305</v>
      </c>
      <c r="C79" s="973"/>
      <c r="D79" s="973"/>
      <c r="E79" s="973"/>
      <c r="F79" s="262"/>
      <c r="O79" s="974" t="s">
        <v>306</v>
      </c>
      <c r="P79" s="974"/>
      <c r="Q79" s="267"/>
      <c r="R79" s="274"/>
      <c r="S79" s="275"/>
      <c r="T79" s="276"/>
      <c r="U79" s="276"/>
      <c r="V79" s="276"/>
      <c r="W79" s="276"/>
      <c r="X79" s="276"/>
      <c r="Y79" s="276"/>
    </row>
    <row r="80" spans="2:25">
      <c r="R80" s="278"/>
      <c r="S80" s="275"/>
      <c r="T80" s="276"/>
      <c r="U80" s="276"/>
      <c r="V80" s="276"/>
      <c r="W80" s="276"/>
      <c r="X80" s="276"/>
      <c r="Y80" s="276"/>
    </row>
    <row r="81" spans="2:25" s="270" customFormat="1" ht="17.25" customHeight="1">
      <c r="C81" s="279"/>
      <c r="D81" s="279"/>
      <c r="E81" s="279"/>
      <c r="F81" s="279"/>
      <c r="G81" s="280"/>
      <c r="H81" s="267"/>
      <c r="I81" s="267"/>
      <c r="N81" s="267"/>
      <c r="O81" s="267"/>
      <c r="P81" s="279"/>
      <c r="Q81" s="281"/>
      <c r="R81" s="282"/>
      <c r="S81" s="283"/>
      <c r="T81" s="284"/>
      <c r="U81" s="285"/>
      <c r="V81" s="286"/>
      <c r="W81" s="286"/>
      <c r="X81" s="286"/>
      <c r="Y81" s="286"/>
    </row>
    <row r="82" spans="2:25" s="270" customFormat="1" ht="18" customHeight="1">
      <c r="B82" s="287"/>
      <c r="C82" s="279"/>
      <c r="D82" s="279"/>
      <c r="E82" s="288"/>
      <c r="F82" s="288"/>
      <c r="G82" s="280"/>
      <c r="H82" s="267"/>
      <c r="I82" s="267"/>
      <c r="J82" s="267"/>
      <c r="K82" s="267"/>
      <c r="L82" s="289"/>
      <c r="M82" s="267"/>
      <c r="N82" s="267"/>
      <c r="O82" s="267"/>
      <c r="P82" s="279"/>
      <c r="Q82" s="281"/>
      <c r="R82" s="282"/>
      <c r="S82" s="283"/>
      <c r="T82" s="284"/>
      <c r="U82" s="285"/>
      <c r="V82" s="286"/>
      <c r="W82" s="286"/>
      <c r="X82" s="286"/>
      <c r="Y82" s="286"/>
    </row>
    <row r="83" spans="2:25" s="270" customFormat="1" ht="18">
      <c r="B83" s="287"/>
      <c r="C83" s="279"/>
      <c r="D83" s="279"/>
      <c r="E83" s="288"/>
      <c r="F83" s="288"/>
      <c r="G83" s="280"/>
      <c r="H83" s="267"/>
      <c r="I83" s="267"/>
      <c r="J83" s="267"/>
      <c r="K83" s="267"/>
      <c r="L83" s="289"/>
      <c r="M83" s="267"/>
      <c r="N83" s="267"/>
      <c r="O83" s="267"/>
      <c r="P83" s="279"/>
      <c r="Q83" s="281"/>
      <c r="R83" s="290"/>
      <c r="S83" s="291"/>
      <c r="T83" s="292"/>
      <c r="U83" s="292"/>
      <c r="V83" s="291"/>
      <c r="W83" s="292"/>
      <c r="X83" s="292"/>
      <c r="Y83" s="292"/>
    </row>
    <row r="84" spans="2:25" s="270" customFormat="1" ht="18">
      <c r="B84" s="287"/>
      <c r="C84" s="279"/>
      <c r="D84" s="279"/>
      <c r="E84" s="288"/>
      <c r="F84" s="288"/>
      <c r="G84" s="280"/>
      <c r="H84" s="267"/>
      <c r="I84" s="267"/>
      <c r="J84" s="267"/>
      <c r="K84" s="267"/>
      <c r="L84" s="289"/>
      <c r="M84" s="267"/>
      <c r="N84" s="267"/>
      <c r="O84" s="267"/>
      <c r="P84" s="279"/>
      <c r="Q84" s="281"/>
      <c r="R84" s="290"/>
      <c r="S84" s="291"/>
      <c r="T84" s="292"/>
      <c r="U84" s="292"/>
      <c r="V84" s="292"/>
      <c r="W84" s="292"/>
      <c r="X84" s="292"/>
      <c r="Y84" s="292"/>
    </row>
    <row r="85" spans="2:25" s="270" customFormat="1" ht="18">
      <c r="B85" s="287"/>
      <c r="C85" s="279"/>
      <c r="D85" s="279"/>
      <c r="E85" s="288"/>
      <c r="F85" s="288"/>
      <c r="G85" s="280"/>
      <c r="H85" s="267"/>
      <c r="I85" s="267"/>
      <c r="J85" s="267"/>
      <c r="K85" s="267"/>
      <c r="L85" s="289"/>
      <c r="M85" s="267"/>
      <c r="N85" s="267"/>
      <c r="O85" s="267"/>
      <c r="P85" s="279"/>
      <c r="Q85" s="281"/>
      <c r="R85" s="290"/>
      <c r="S85" s="291"/>
      <c r="T85" s="292"/>
      <c r="U85" s="292"/>
      <c r="V85" s="292"/>
      <c r="W85" s="292"/>
      <c r="X85" s="292"/>
      <c r="Y85" s="292"/>
    </row>
    <row r="86" spans="2:25" s="270" customFormat="1" ht="18">
      <c r="B86" s="287"/>
      <c r="C86" s="279"/>
      <c r="D86" s="279"/>
      <c r="E86" s="288"/>
      <c r="F86" s="288"/>
      <c r="G86" s="280"/>
      <c r="H86" s="267"/>
      <c r="I86" s="267"/>
      <c r="J86" s="267"/>
      <c r="K86" s="267"/>
      <c r="L86" s="289"/>
      <c r="M86" s="267"/>
      <c r="N86" s="267"/>
      <c r="O86" s="267"/>
      <c r="P86" s="279"/>
      <c r="Q86" s="281"/>
      <c r="R86" s="290"/>
      <c r="S86" s="291"/>
      <c r="T86" s="292"/>
      <c r="U86" s="292"/>
      <c r="V86" s="292"/>
      <c r="W86" s="292"/>
      <c r="X86" s="292"/>
      <c r="Y86" s="292"/>
    </row>
    <row r="87" spans="2:25" s="270" customFormat="1" ht="18">
      <c r="B87" s="287"/>
      <c r="C87" s="279"/>
      <c r="D87" s="279"/>
      <c r="E87" s="288"/>
      <c r="F87" s="288"/>
      <c r="G87" s="280"/>
      <c r="H87" s="267"/>
      <c r="I87" s="267"/>
      <c r="J87" s="267"/>
      <c r="K87" s="293"/>
      <c r="L87" s="289"/>
      <c r="M87" s="267"/>
      <c r="N87" s="267"/>
      <c r="O87" s="267"/>
      <c r="P87" s="279"/>
      <c r="Q87" s="281"/>
      <c r="R87" s="290"/>
      <c r="S87" s="291"/>
      <c r="T87" s="292"/>
      <c r="U87" s="292"/>
      <c r="V87" s="292"/>
      <c r="W87" s="292"/>
      <c r="X87" s="292"/>
      <c r="Y87" s="292"/>
    </row>
    <row r="88" spans="2:25" s="270" customFormat="1" ht="18">
      <c r="B88" s="287"/>
      <c r="C88" s="279"/>
      <c r="D88" s="279"/>
      <c r="E88" s="288"/>
      <c r="F88" s="288"/>
      <c r="G88" s="280"/>
      <c r="H88" s="267"/>
      <c r="I88" s="267"/>
      <c r="J88" s="267"/>
      <c r="K88" s="267"/>
      <c r="L88" s="289"/>
      <c r="M88" s="267"/>
      <c r="N88" s="267"/>
      <c r="O88" s="267"/>
      <c r="P88" s="279"/>
      <c r="Q88" s="281"/>
      <c r="R88" s="290"/>
      <c r="S88" s="291"/>
      <c r="T88" s="292"/>
      <c r="U88" s="292"/>
      <c r="V88" s="292"/>
      <c r="W88" s="292"/>
      <c r="X88" s="292"/>
      <c r="Y88" s="292"/>
    </row>
    <row r="89" spans="2:25" s="270" customFormat="1" ht="18">
      <c r="B89" s="287"/>
      <c r="C89" s="279"/>
      <c r="D89" s="279"/>
      <c r="E89" s="288"/>
      <c r="F89" s="288"/>
      <c r="G89" s="280"/>
      <c r="H89" s="267"/>
      <c r="I89" s="267"/>
      <c r="J89" s="267"/>
      <c r="K89" s="267"/>
      <c r="L89" s="289"/>
      <c r="M89" s="267"/>
      <c r="N89" s="267"/>
      <c r="O89" s="294"/>
      <c r="P89" s="279"/>
      <c r="Q89" s="281"/>
      <c r="R89" s="290"/>
      <c r="S89" s="291"/>
      <c r="T89" s="292"/>
      <c r="U89" s="292"/>
      <c r="V89" s="292"/>
      <c r="W89" s="292"/>
      <c r="X89" s="292"/>
      <c r="Y89" s="292"/>
    </row>
    <row r="90" spans="2:25" s="270" customFormat="1" ht="18">
      <c r="B90" s="287"/>
      <c r="C90" s="279"/>
      <c r="D90" s="279"/>
      <c r="E90" s="288"/>
      <c r="F90" s="288"/>
      <c r="G90" s="280"/>
      <c r="H90" s="267"/>
      <c r="I90" s="267"/>
      <c r="J90" s="267"/>
      <c r="K90" s="267"/>
      <c r="L90" s="289"/>
      <c r="M90" s="267"/>
      <c r="N90" s="267"/>
      <c r="O90" s="294"/>
      <c r="P90" s="279"/>
      <c r="Q90" s="281"/>
      <c r="R90" s="290"/>
      <c r="S90" s="291"/>
      <c r="T90" s="292"/>
      <c r="U90" s="292"/>
      <c r="V90" s="292"/>
      <c r="W90" s="292"/>
      <c r="X90" s="292"/>
      <c r="Y90" s="292"/>
    </row>
    <row r="91" spans="2:25" s="270" customFormat="1" ht="18">
      <c r="B91" s="287"/>
      <c r="C91" s="279"/>
      <c r="D91" s="279"/>
      <c r="E91" s="288"/>
      <c r="F91" s="288"/>
      <c r="G91" s="280"/>
      <c r="H91" s="267"/>
      <c r="I91" s="267"/>
      <c r="J91" s="267"/>
      <c r="K91" s="267"/>
      <c r="L91" s="289"/>
      <c r="M91" s="267"/>
      <c r="N91" s="267"/>
      <c r="O91" s="294"/>
      <c r="P91" s="279"/>
      <c r="Q91" s="281"/>
      <c r="R91" s="290"/>
      <c r="S91" s="291"/>
      <c r="T91" s="292"/>
      <c r="U91" s="292"/>
      <c r="V91" s="292"/>
      <c r="W91" s="292"/>
      <c r="X91" s="292"/>
      <c r="Y91" s="292"/>
    </row>
    <row r="92" spans="2:25" s="270" customFormat="1" ht="18">
      <c r="B92" s="287"/>
      <c r="C92" s="279"/>
      <c r="D92" s="279"/>
      <c r="E92" s="288"/>
      <c r="F92" s="288"/>
      <c r="G92" s="280"/>
      <c r="H92" s="267"/>
      <c r="I92" s="267"/>
      <c r="J92" s="267"/>
      <c r="K92" s="267"/>
      <c r="L92" s="289"/>
      <c r="M92" s="267"/>
      <c r="N92" s="267"/>
      <c r="O92" s="267"/>
      <c r="P92" s="279"/>
      <c r="Q92" s="281"/>
      <c r="R92" s="290"/>
      <c r="S92" s="291"/>
      <c r="T92" s="292"/>
      <c r="U92" s="292"/>
      <c r="V92" s="292"/>
      <c r="W92" s="292"/>
      <c r="X92" s="292"/>
      <c r="Y92" s="292"/>
    </row>
    <row r="93" spans="2:25" s="270" customFormat="1" ht="18">
      <c r="B93" s="287"/>
      <c r="C93" s="279"/>
      <c r="D93" s="279"/>
      <c r="E93" s="288"/>
      <c r="F93" s="288"/>
      <c r="G93" s="280"/>
      <c r="H93" s="267"/>
      <c r="I93" s="267"/>
      <c r="J93" s="267"/>
      <c r="K93" s="267"/>
      <c r="L93" s="289"/>
      <c r="M93" s="267"/>
      <c r="N93" s="267"/>
      <c r="O93" s="267"/>
      <c r="P93" s="279"/>
      <c r="Q93" s="281"/>
      <c r="R93" s="290"/>
      <c r="S93" s="291"/>
      <c r="T93" s="292"/>
      <c r="U93" s="292"/>
      <c r="V93" s="292"/>
      <c r="W93" s="292"/>
      <c r="X93" s="292"/>
      <c r="Y93" s="292"/>
    </row>
    <row r="94" spans="2:25" s="270" customFormat="1" ht="18">
      <c r="B94" s="287"/>
      <c r="C94" s="279"/>
      <c r="D94" s="279"/>
      <c r="E94" s="288"/>
      <c r="F94" s="288"/>
      <c r="G94" s="280"/>
      <c r="H94" s="267"/>
      <c r="I94" s="267"/>
      <c r="J94" s="267"/>
      <c r="K94" s="267"/>
      <c r="L94" s="289"/>
      <c r="M94" s="267"/>
      <c r="N94" s="267"/>
      <c r="O94" s="267"/>
      <c r="P94" s="279"/>
      <c r="Q94" s="281"/>
      <c r="R94" s="290"/>
      <c r="S94" s="291"/>
      <c r="T94" s="292"/>
      <c r="U94" s="292"/>
      <c r="V94" s="292"/>
      <c r="W94" s="292"/>
      <c r="X94" s="292"/>
      <c r="Y94" s="292"/>
    </row>
    <row r="95" spans="2:25" s="270" customFormat="1" ht="18">
      <c r="B95" s="287"/>
      <c r="C95" s="279"/>
      <c r="D95" s="279"/>
      <c r="E95" s="288"/>
      <c r="F95" s="288"/>
      <c r="G95" s="280"/>
      <c r="H95" s="267"/>
      <c r="I95" s="267"/>
      <c r="J95" s="267"/>
      <c r="K95" s="267"/>
      <c r="L95" s="289"/>
      <c r="M95" s="267"/>
      <c r="N95" s="267"/>
      <c r="O95" s="267"/>
      <c r="P95" s="279"/>
      <c r="Q95" s="281"/>
      <c r="R95" s="290"/>
      <c r="S95" s="291"/>
      <c r="T95" s="292"/>
      <c r="U95" s="292"/>
      <c r="V95" s="292"/>
      <c r="W95" s="292"/>
      <c r="X95" s="292"/>
      <c r="Y95" s="292"/>
    </row>
    <row r="96" spans="2:25" s="270" customFormat="1" ht="18">
      <c r="B96" s="287"/>
      <c r="C96" s="279"/>
      <c r="D96" s="279"/>
      <c r="E96" s="288"/>
      <c r="F96" s="288"/>
      <c r="G96" s="280"/>
      <c r="H96" s="267"/>
      <c r="I96" s="267"/>
      <c r="J96" s="267"/>
      <c r="K96" s="267"/>
      <c r="L96" s="289"/>
      <c r="M96" s="267"/>
      <c r="N96" s="267"/>
      <c r="O96" s="267"/>
      <c r="P96" s="279"/>
      <c r="Q96" s="281"/>
      <c r="R96" s="290"/>
      <c r="S96" s="291"/>
      <c r="T96" s="292"/>
      <c r="U96" s="292"/>
      <c r="V96" s="292"/>
      <c r="W96" s="292"/>
      <c r="X96" s="292"/>
      <c r="Y96" s="292"/>
    </row>
    <row r="97" spans="2:25" s="270" customFormat="1" ht="18">
      <c r="B97" s="287"/>
      <c r="C97" s="279"/>
      <c r="D97" s="279"/>
      <c r="E97" s="288"/>
      <c r="F97" s="288"/>
      <c r="G97" s="280"/>
      <c r="H97" s="267"/>
      <c r="I97" s="267"/>
      <c r="J97" s="267"/>
      <c r="K97" s="267"/>
      <c r="L97" s="289"/>
      <c r="M97" s="267"/>
      <c r="N97" s="267"/>
      <c r="O97" s="267"/>
      <c r="P97" s="279"/>
      <c r="Q97" s="281"/>
      <c r="R97" s="290"/>
      <c r="S97" s="291"/>
      <c r="T97" s="292"/>
      <c r="U97" s="292"/>
      <c r="V97" s="292"/>
      <c r="W97" s="292"/>
      <c r="X97" s="292"/>
      <c r="Y97" s="292"/>
    </row>
    <row r="98" spans="2:25" s="270" customFormat="1" ht="18">
      <c r="B98" s="287"/>
      <c r="C98" s="279"/>
      <c r="D98" s="279"/>
      <c r="E98" s="288"/>
      <c r="F98" s="288"/>
      <c r="G98" s="280"/>
      <c r="H98" s="267"/>
      <c r="I98" s="267"/>
      <c r="J98" s="267"/>
      <c r="K98" s="267"/>
      <c r="L98" s="289"/>
      <c r="M98" s="267"/>
      <c r="N98" s="267"/>
      <c r="O98" s="267"/>
      <c r="P98" s="279"/>
      <c r="Q98" s="281"/>
      <c r="R98" s="290"/>
      <c r="S98" s="291"/>
      <c r="T98" s="292"/>
      <c r="U98" s="292"/>
      <c r="V98" s="292"/>
      <c r="W98" s="292"/>
      <c r="X98" s="292"/>
      <c r="Y98" s="292"/>
    </row>
    <row r="99" spans="2:25" s="270" customFormat="1" ht="18">
      <c r="B99" s="287"/>
      <c r="C99" s="279"/>
      <c r="D99" s="279"/>
      <c r="E99" s="288"/>
      <c r="F99" s="288"/>
      <c r="G99" s="280"/>
      <c r="H99" s="267"/>
      <c r="I99" s="267"/>
      <c r="J99" s="267"/>
      <c r="K99" s="267"/>
      <c r="L99" s="289"/>
      <c r="M99" s="267"/>
      <c r="N99" s="267"/>
      <c r="O99" s="267"/>
      <c r="P99" s="279"/>
      <c r="Q99" s="281"/>
      <c r="R99" s="290"/>
      <c r="S99" s="291"/>
      <c r="T99" s="292"/>
      <c r="U99" s="292"/>
      <c r="V99" s="292"/>
      <c r="W99" s="292"/>
      <c r="X99" s="292"/>
      <c r="Y99" s="292"/>
    </row>
    <row r="100" spans="2:25">
      <c r="B100" s="295"/>
      <c r="E100" s="296"/>
      <c r="F100" s="296"/>
      <c r="G100" s="297"/>
      <c r="H100" s="298"/>
      <c r="I100" s="298"/>
      <c r="J100" s="298"/>
      <c r="K100" s="298"/>
      <c r="L100" s="299"/>
      <c r="M100" s="298"/>
      <c r="N100" s="298"/>
      <c r="O100" s="298"/>
      <c r="R100" s="278"/>
      <c r="S100" s="275"/>
      <c r="T100" s="276"/>
      <c r="U100" s="276"/>
      <c r="V100" s="276"/>
      <c r="W100" s="276"/>
      <c r="X100" s="276"/>
      <c r="Y100" s="276"/>
    </row>
    <row r="101" spans="2:25">
      <c r="B101" s="295"/>
      <c r="E101" s="296"/>
      <c r="F101" s="296"/>
      <c r="G101" s="297"/>
      <c r="H101" s="298"/>
      <c r="I101" s="298"/>
      <c r="J101" s="298"/>
      <c r="K101" s="298"/>
      <c r="L101" s="299"/>
      <c r="M101" s="298"/>
      <c r="N101" s="298"/>
      <c r="O101" s="298"/>
      <c r="R101" s="278"/>
      <c r="S101" s="275"/>
      <c r="T101" s="276"/>
      <c r="U101" s="276"/>
      <c r="V101" s="276"/>
      <c r="W101" s="276"/>
      <c r="X101" s="276"/>
      <c r="Y101" s="276"/>
    </row>
    <row r="102" spans="2:25">
      <c r="B102" s="295"/>
      <c r="E102" s="296"/>
      <c r="F102" s="296"/>
      <c r="G102" s="297"/>
      <c r="H102" s="298"/>
      <c r="I102" s="298"/>
      <c r="J102" s="298"/>
      <c r="K102" s="298"/>
      <c r="L102" s="299"/>
      <c r="M102" s="298"/>
      <c r="N102" s="298"/>
      <c r="O102" s="298"/>
    </row>
    <row r="103" spans="2:25">
      <c r="B103" s="295"/>
      <c r="E103" s="296"/>
      <c r="F103" s="296"/>
      <c r="G103" s="297"/>
      <c r="H103" s="298"/>
      <c r="I103" s="298"/>
      <c r="J103" s="298"/>
      <c r="K103" s="298"/>
      <c r="L103" s="299"/>
      <c r="M103" s="298"/>
      <c r="N103" s="298"/>
      <c r="O103" s="298"/>
    </row>
    <row r="104" spans="2:25">
      <c r="B104" s="295"/>
      <c r="E104" s="296"/>
      <c r="F104" s="296"/>
      <c r="G104" s="297"/>
      <c r="H104" s="298"/>
      <c r="I104" s="298"/>
      <c r="J104" s="298"/>
      <c r="K104" s="298"/>
      <c r="L104" s="299"/>
      <c r="M104" s="298"/>
      <c r="N104" s="298"/>
      <c r="O104" s="298"/>
    </row>
    <row r="105" spans="2:25">
      <c r="B105" s="295"/>
      <c r="E105" s="296"/>
      <c r="F105" s="296"/>
      <c r="G105" s="297"/>
      <c r="H105" s="298"/>
      <c r="I105" s="298"/>
      <c r="J105" s="298"/>
      <c r="K105" s="298"/>
      <c r="L105" s="299"/>
      <c r="M105" s="298"/>
      <c r="N105" s="298"/>
      <c r="O105" s="298"/>
    </row>
    <row r="106" spans="2:25">
      <c r="B106" s="295"/>
      <c r="E106" s="296"/>
      <c r="F106" s="296"/>
      <c r="G106" s="297"/>
      <c r="H106" s="298"/>
      <c r="I106" s="298"/>
      <c r="J106" s="298"/>
      <c r="K106" s="298"/>
      <c r="L106" s="299"/>
      <c r="M106" s="298"/>
      <c r="N106" s="298"/>
      <c r="O106" s="298"/>
    </row>
    <row r="107" spans="2:25">
      <c r="B107" s="295"/>
      <c r="E107" s="296"/>
      <c r="F107" s="296"/>
      <c r="G107" s="297"/>
      <c r="H107" s="298"/>
      <c r="I107" s="298"/>
      <c r="J107" s="298"/>
      <c r="K107" s="298"/>
      <c r="L107" s="299"/>
      <c r="M107" s="298"/>
      <c r="N107" s="298"/>
      <c r="O107" s="298"/>
    </row>
    <row r="108" spans="2:25">
      <c r="B108" s="295"/>
      <c r="E108" s="296"/>
      <c r="F108" s="296"/>
      <c r="G108" s="297"/>
      <c r="H108" s="298"/>
      <c r="I108" s="298"/>
      <c r="J108" s="298"/>
      <c r="K108" s="298"/>
      <c r="L108" s="299"/>
      <c r="M108" s="298"/>
      <c r="N108" s="298"/>
      <c r="O108" s="298"/>
    </row>
    <row r="109" spans="2:25">
      <c r="B109" s="295"/>
      <c r="E109" s="296"/>
      <c r="F109" s="296"/>
      <c r="G109" s="297"/>
      <c r="H109" s="298"/>
      <c r="I109" s="298"/>
      <c r="J109" s="298"/>
      <c r="K109" s="298"/>
      <c r="L109" s="299"/>
      <c r="M109" s="298"/>
      <c r="N109" s="298"/>
      <c r="O109" s="298"/>
    </row>
    <row r="110" spans="2:25">
      <c r="B110" s="295"/>
      <c r="E110" s="296"/>
      <c r="F110" s="296"/>
      <c r="G110" s="297"/>
      <c r="H110" s="298"/>
      <c r="I110" s="298"/>
      <c r="J110" s="298"/>
      <c r="K110" s="298"/>
      <c r="L110" s="299"/>
      <c r="M110" s="298"/>
      <c r="N110" s="298"/>
      <c r="O110" s="298"/>
    </row>
    <row r="111" spans="2:25">
      <c r="B111" s="295"/>
      <c r="E111" s="296"/>
      <c r="F111" s="296"/>
      <c r="G111" s="297"/>
      <c r="H111" s="298"/>
      <c r="I111" s="298"/>
      <c r="J111" s="298"/>
      <c r="K111" s="298"/>
      <c r="L111" s="299"/>
      <c r="M111" s="298"/>
      <c r="N111" s="298"/>
      <c r="O111" s="298"/>
    </row>
    <row r="112" spans="2:25">
      <c r="B112" s="295"/>
      <c r="E112" s="296"/>
      <c r="F112" s="296"/>
      <c r="G112" s="297"/>
      <c r="H112" s="298"/>
      <c r="I112" s="298"/>
      <c r="J112" s="298"/>
      <c r="K112" s="298"/>
      <c r="L112" s="299"/>
      <c r="M112" s="298"/>
      <c r="N112" s="298"/>
      <c r="O112" s="298"/>
    </row>
    <row r="113" spans="1:25">
      <c r="B113" s="295"/>
      <c r="E113" s="296"/>
      <c r="F113" s="296"/>
      <c r="G113" s="297"/>
      <c r="H113" s="298"/>
      <c r="I113" s="298"/>
      <c r="J113" s="298"/>
      <c r="K113" s="298"/>
      <c r="L113" s="299"/>
      <c r="M113" s="298"/>
      <c r="N113" s="298"/>
      <c r="O113" s="298"/>
    </row>
    <row r="114" spans="1:25">
      <c r="B114" s="295"/>
      <c r="E114" s="296"/>
      <c r="F114" s="296"/>
      <c r="G114" s="297"/>
      <c r="H114" s="298"/>
      <c r="I114" s="298"/>
      <c r="J114" s="298"/>
      <c r="K114" s="298"/>
      <c r="L114" s="299"/>
      <c r="M114" s="298"/>
      <c r="N114" s="298"/>
      <c r="O114" s="298"/>
    </row>
    <row r="115" spans="1:25">
      <c r="B115" s="295"/>
      <c r="E115" s="296"/>
      <c r="F115" s="296"/>
      <c r="G115" s="297"/>
      <c r="H115" s="298"/>
      <c r="I115" s="298"/>
      <c r="J115" s="298"/>
      <c r="K115" s="298"/>
      <c r="L115" s="299"/>
      <c r="M115" s="298"/>
      <c r="N115" s="298"/>
      <c r="O115" s="298"/>
    </row>
    <row r="116" spans="1:25">
      <c r="B116" s="295"/>
      <c r="E116" s="296"/>
      <c r="F116" s="296"/>
      <c r="G116" s="297"/>
      <c r="H116" s="298"/>
      <c r="I116" s="298"/>
      <c r="J116" s="298"/>
      <c r="K116" s="298"/>
      <c r="L116" s="299"/>
      <c r="M116" s="298"/>
      <c r="N116" s="298"/>
      <c r="O116" s="298"/>
    </row>
    <row r="117" spans="1:25" s="271" customFormat="1">
      <c r="A117" s="131"/>
      <c r="B117" s="295"/>
      <c r="E117" s="296"/>
      <c r="F117" s="296"/>
      <c r="G117" s="297"/>
      <c r="H117" s="298"/>
      <c r="I117" s="298"/>
      <c r="J117" s="298"/>
      <c r="K117" s="298"/>
      <c r="L117" s="299"/>
      <c r="M117" s="298"/>
      <c r="N117" s="298"/>
      <c r="O117" s="298"/>
      <c r="Q117" s="128"/>
      <c r="R117" s="129"/>
      <c r="S117" s="130"/>
      <c r="T117" s="131"/>
      <c r="U117" s="131"/>
      <c r="V117" s="131"/>
      <c r="W117" s="131"/>
      <c r="X117" s="131"/>
      <c r="Y117" s="131"/>
    </row>
    <row r="118" spans="1:25" s="271" customFormat="1">
      <c r="A118" s="131"/>
      <c r="B118" s="295"/>
      <c r="E118" s="296"/>
      <c r="F118" s="296"/>
      <c r="G118" s="297"/>
      <c r="H118" s="298"/>
      <c r="I118" s="298"/>
      <c r="J118" s="298"/>
      <c r="K118" s="298"/>
      <c r="L118" s="299"/>
      <c r="M118" s="298"/>
      <c r="N118" s="298"/>
      <c r="O118" s="298"/>
      <c r="Q118" s="128"/>
      <c r="R118" s="129"/>
      <c r="S118" s="130"/>
      <c r="T118" s="131"/>
      <c r="U118" s="131"/>
      <c r="V118" s="131"/>
      <c r="W118" s="131"/>
      <c r="X118" s="131"/>
      <c r="Y118" s="131"/>
    </row>
    <row r="119" spans="1:25" s="271" customFormat="1">
      <c r="A119" s="131"/>
      <c r="B119" s="295"/>
      <c r="E119" s="296"/>
      <c r="F119" s="296"/>
      <c r="G119" s="297"/>
      <c r="H119" s="298"/>
      <c r="I119" s="298"/>
      <c r="J119" s="298"/>
      <c r="K119" s="298"/>
      <c r="L119" s="299"/>
      <c r="M119" s="298"/>
      <c r="N119" s="298"/>
      <c r="O119" s="298"/>
      <c r="Q119" s="128"/>
      <c r="R119" s="129"/>
      <c r="S119" s="130"/>
      <c r="T119" s="131"/>
      <c r="U119" s="131"/>
      <c r="V119" s="131"/>
      <c r="W119" s="131"/>
      <c r="X119" s="131"/>
      <c r="Y119" s="131"/>
    </row>
    <row r="120" spans="1:25" s="271" customFormat="1">
      <c r="A120" s="131"/>
      <c r="B120" s="295"/>
      <c r="E120" s="296"/>
      <c r="F120" s="296"/>
      <c r="G120" s="297"/>
      <c r="H120" s="298"/>
      <c r="I120" s="298"/>
      <c r="J120" s="298"/>
      <c r="K120" s="298"/>
      <c r="L120" s="299"/>
      <c r="M120" s="298"/>
      <c r="N120" s="298"/>
      <c r="O120" s="298"/>
      <c r="Q120" s="128"/>
      <c r="R120" s="129"/>
      <c r="S120" s="130"/>
      <c r="T120" s="131"/>
      <c r="U120" s="131"/>
      <c r="V120" s="131"/>
      <c r="W120" s="131"/>
      <c r="X120" s="131"/>
      <c r="Y120" s="131"/>
    </row>
    <row r="121" spans="1:25" s="271" customFormat="1">
      <c r="A121" s="131"/>
      <c r="B121" s="295"/>
      <c r="E121" s="296"/>
      <c r="F121" s="296"/>
      <c r="G121" s="297"/>
      <c r="H121" s="298"/>
      <c r="I121" s="298"/>
      <c r="J121" s="298"/>
      <c r="K121" s="298"/>
      <c r="L121" s="299"/>
      <c r="M121" s="298"/>
      <c r="N121" s="298"/>
      <c r="O121" s="298"/>
      <c r="Q121" s="128"/>
      <c r="R121" s="129"/>
      <c r="S121" s="130"/>
      <c r="T121" s="131"/>
      <c r="U121" s="131"/>
      <c r="V121" s="131"/>
      <c r="W121" s="131"/>
      <c r="X121" s="131"/>
      <c r="Y121" s="131"/>
    </row>
    <row r="122" spans="1:25" s="271" customFormat="1">
      <c r="A122" s="131"/>
      <c r="B122" s="295"/>
      <c r="E122" s="296"/>
      <c r="F122" s="296"/>
      <c r="G122" s="297"/>
      <c r="H122" s="298"/>
      <c r="I122" s="298"/>
      <c r="J122" s="298"/>
      <c r="K122" s="298"/>
      <c r="L122" s="299"/>
      <c r="M122" s="298"/>
      <c r="N122" s="298"/>
      <c r="O122" s="298"/>
      <c r="Q122" s="128"/>
      <c r="R122" s="129"/>
      <c r="S122" s="130"/>
      <c r="T122" s="131"/>
      <c r="U122" s="131"/>
      <c r="V122" s="131"/>
      <c r="W122" s="131"/>
      <c r="X122" s="131"/>
      <c r="Y122" s="131"/>
    </row>
  </sheetData>
  <mergeCells count="116">
    <mergeCell ref="B79:E79"/>
    <mergeCell ref="O79:P79"/>
    <mergeCell ref="M69:M74"/>
    <mergeCell ref="N69:N74"/>
    <mergeCell ref="O69:O74"/>
    <mergeCell ref="P69:P74"/>
    <mergeCell ref="B78:E78"/>
    <mergeCell ref="O78:P78"/>
    <mergeCell ref="M61:M65"/>
    <mergeCell ref="N61:N65"/>
    <mergeCell ref="O61:O65"/>
    <mergeCell ref="P61:P65"/>
    <mergeCell ref="B69:B74"/>
    <mergeCell ref="C69:C74"/>
    <mergeCell ref="D69:D74"/>
    <mergeCell ref="E69:E74"/>
    <mergeCell ref="F69:F74"/>
    <mergeCell ref="I69:I74"/>
    <mergeCell ref="B61:B65"/>
    <mergeCell ref="C61:C65"/>
    <mergeCell ref="D61:D65"/>
    <mergeCell ref="E61:E65"/>
    <mergeCell ref="F61:F65"/>
    <mergeCell ref="I61:I65"/>
    <mergeCell ref="O44:O49"/>
    <mergeCell ref="K56:K57"/>
    <mergeCell ref="L56:L57"/>
    <mergeCell ref="M56:M57"/>
    <mergeCell ref="N56:N57"/>
    <mergeCell ref="O56:O57"/>
    <mergeCell ref="P56:P57"/>
    <mergeCell ref="P51:P55"/>
    <mergeCell ref="B56:B57"/>
    <mergeCell ref="C56:C57"/>
    <mergeCell ref="D56:D57"/>
    <mergeCell ref="E56:E57"/>
    <mergeCell ref="F56:F57"/>
    <mergeCell ref="G56:G57"/>
    <mergeCell ref="H56:H57"/>
    <mergeCell ref="I56:I57"/>
    <mergeCell ref="J56:J57"/>
    <mergeCell ref="D24:D30"/>
    <mergeCell ref="E24:E30"/>
    <mergeCell ref="F24:F30"/>
    <mergeCell ref="I24:I30"/>
    <mergeCell ref="M24:M30"/>
    <mergeCell ref="N24:N30"/>
    <mergeCell ref="P44:P49"/>
    <mergeCell ref="B51:B55"/>
    <mergeCell ref="C51:C55"/>
    <mergeCell ref="D51:D55"/>
    <mergeCell ref="E51:E55"/>
    <mergeCell ref="F51:F55"/>
    <mergeCell ref="I51:I55"/>
    <mergeCell ref="M51:M55"/>
    <mergeCell ref="N51:N55"/>
    <mergeCell ref="O51:O55"/>
    <mergeCell ref="B44:B49"/>
    <mergeCell ref="C44:C49"/>
    <mergeCell ref="D44:D49"/>
    <mergeCell ref="E44:E49"/>
    <mergeCell ref="F44:F49"/>
    <mergeCell ref="I44:I49"/>
    <mergeCell ref="M44:M49"/>
    <mergeCell ref="N44:N49"/>
    <mergeCell ref="B31:B42"/>
    <mergeCell ref="C31:C42"/>
    <mergeCell ref="D31:D42"/>
    <mergeCell ref="E31:E42"/>
    <mergeCell ref="F31:F42"/>
    <mergeCell ref="G31:G42"/>
    <mergeCell ref="H31:H42"/>
    <mergeCell ref="I31:I42"/>
    <mergeCell ref="P31:P42"/>
    <mergeCell ref="J31:J42"/>
    <mergeCell ref="K31:K42"/>
    <mergeCell ref="L31:L42"/>
    <mergeCell ref="M31:M42"/>
    <mergeCell ref="N31:N42"/>
    <mergeCell ref="O31:O42"/>
    <mergeCell ref="O24:O30"/>
    <mergeCell ref="P11:P16"/>
    <mergeCell ref="B17:B23"/>
    <mergeCell ref="C17:C23"/>
    <mergeCell ref="D17:D23"/>
    <mergeCell ref="E17:E23"/>
    <mergeCell ref="F17:F23"/>
    <mergeCell ref="I17:I23"/>
    <mergeCell ref="M17:M23"/>
    <mergeCell ref="N17:N23"/>
    <mergeCell ref="O17:O23"/>
    <mergeCell ref="P17:P23"/>
    <mergeCell ref="B11:B16"/>
    <mergeCell ref="C11:C16"/>
    <mergeCell ref="D11:D16"/>
    <mergeCell ref="E11:E16"/>
    <mergeCell ref="F11:F16"/>
    <mergeCell ref="I11:I16"/>
    <mergeCell ref="M11:M16"/>
    <mergeCell ref="N11:N16"/>
    <mergeCell ref="O11:O16"/>
    <mergeCell ref="P24:P30"/>
    <mergeCell ref="B24:B30"/>
    <mergeCell ref="C24:C30"/>
    <mergeCell ref="E2:J2"/>
    <mergeCell ref="E3:J3"/>
    <mergeCell ref="L3:O3"/>
    <mergeCell ref="B5:P5"/>
    <mergeCell ref="C6:O6"/>
    <mergeCell ref="B9:B10"/>
    <mergeCell ref="C9:C10"/>
    <mergeCell ref="G9:G10"/>
    <mergeCell ref="H9:H10"/>
    <mergeCell ref="I9:I10"/>
    <mergeCell ref="O9:O10"/>
    <mergeCell ref="P9:P10"/>
  </mergeCells>
  <printOptions horizontalCentered="1"/>
  <pageMargins left="0.43307086614173229" right="3.937007874015748E-2" top="1.3385826771653544" bottom="1.1417322834645669" header="0.31496062992125984" footer="0.31496062992125984"/>
  <pageSetup paperSize="190" scale="93" fitToWidth="3" fitToHeight="3" orientation="landscape"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4"/>
  <sheetViews>
    <sheetView topLeftCell="A16" zoomScale="85" zoomScaleNormal="85" workbookViewId="0">
      <selection activeCell="J34" sqref="J34"/>
    </sheetView>
  </sheetViews>
  <sheetFormatPr baseColWidth="10" defaultColWidth="9.140625" defaultRowHeight="16.5" customHeight="1"/>
  <cols>
    <col min="1" max="1" width="19.7109375" style="301" customWidth="1"/>
    <col min="2" max="2" width="33.140625" style="300" customWidth="1"/>
    <col min="3" max="3" width="8.85546875" style="300" customWidth="1"/>
    <col min="4" max="4" width="27.7109375" style="302" bestFit="1" customWidth="1"/>
    <col min="5" max="5" width="19.42578125" style="303" customWidth="1"/>
    <col min="6" max="6" width="13.5703125" style="300" bestFit="1" customWidth="1"/>
    <col min="7" max="7" width="48" style="300" bestFit="1" customWidth="1"/>
    <col min="8" max="8" width="37.28515625" style="300" bestFit="1" customWidth="1"/>
    <col min="9" max="9" width="2.42578125" style="300" bestFit="1" customWidth="1"/>
    <col min="10" max="10" width="26.5703125" style="300" customWidth="1"/>
    <col min="11" max="11" width="19" style="302" bestFit="1" customWidth="1"/>
    <col min="12" max="12" width="12.7109375" style="300" customWidth="1"/>
    <col min="13" max="13" width="11.5703125" style="300" bestFit="1" customWidth="1"/>
    <col min="14" max="16384" width="9.140625" style="300"/>
  </cols>
  <sheetData>
    <row r="1" spans="1:6" ht="16.5" customHeight="1">
      <c r="A1" s="996" t="s">
        <v>18</v>
      </c>
      <c r="B1" s="996"/>
      <c r="C1" s="996"/>
      <c r="D1" s="996"/>
      <c r="E1" s="996"/>
      <c r="F1" s="996"/>
    </row>
    <row r="2" spans="1:6" ht="16.5" customHeight="1">
      <c r="A2" s="996" t="s">
        <v>19</v>
      </c>
      <c r="B2" s="996"/>
      <c r="C2" s="996"/>
      <c r="D2" s="996"/>
      <c r="E2" s="996"/>
      <c r="F2" s="996"/>
    </row>
    <row r="3" spans="1:6" ht="16.5" customHeight="1">
      <c r="A3" s="996" t="s">
        <v>22</v>
      </c>
      <c r="B3" s="996"/>
      <c r="C3" s="996"/>
      <c r="D3" s="996"/>
      <c r="E3" s="996"/>
      <c r="F3" s="996"/>
    </row>
    <row r="4" spans="1:6" ht="16.5" customHeight="1">
      <c r="A4" s="996" t="s">
        <v>23</v>
      </c>
      <c r="B4" s="996"/>
      <c r="C4" s="996"/>
      <c r="D4" s="996"/>
      <c r="E4" s="996"/>
      <c r="F4" s="996"/>
    </row>
    <row r="5" spans="1:6" ht="16.5" customHeight="1">
      <c r="A5" s="997" t="s">
        <v>1085</v>
      </c>
      <c r="B5" s="998"/>
      <c r="C5" s="998"/>
      <c r="D5" s="998"/>
      <c r="E5" s="998"/>
      <c r="F5" s="998"/>
    </row>
    <row r="7" spans="1:6" ht="16.5" customHeight="1">
      <c r="A7" s="304" t="s">
        <v>315</v>
      </c>
      <c r="D7" s="300"/>
      <c r="E7" s="305">
        <v>253086593.91</v>
      </c>
    </row>
    <row r="8" spans="1:6" ht="16.5" customHeight="1">
      <c r="E8" s="302"/>
    </row>
    <row r="9" spans="1:6" ht="16.5" customHeight="1">
      <c r="A9" s="304" t="s">
        <v>316</v>
      </c>
      <c r="D9" s="305">
        <v>253400243.91</v>
      </c>
      <c r="E9" s="302"/>
    </row>
    <row r="10" spans="1:6" ht="16.5" customHeight="1">
      <c r="E10" s="302"/>
    </row>
    <row r="11" spans="1:6" ht="16.5" customHeight="1">
      <c r="A11" s="301" t="s">
        <v>1088</v>
      </c>
      <c r="D11"/>
      <c r="E11" s="302"/>
    </row>
    <row r="12" spans="1:6" ht="16.5" customHeight="1">
      <c r="A12" s="301" t="s">
        <v>1086</v>
      </c>
      <c r="B12" s="300" t="s">
        <v>1087</v>
      </c>
      <c r="D12" s="305">
        <v>313650</v>
      </c>
      <c r="E12" s="302"/>
    </row>
    <row r="13" spans="1:6" ht="16.5" customHeight="1">
      <c r="D13" s="305"/>
      <c r="E13" s="302"/>
    </row>
    <row r="14" spans="1:6" ht="16.5" customHeight="1">
      <c r="A14" s="306"/>
      <c r="B14" s="309"/>
      <c r="C14" s="309"/>
      <c r="E14" s="305"/>
      <c r="F14" s="307"/>
    </row>
    <row r="15" spans="1:6" ht="16.5" customHeight="1">
      <c r="A15" s="335" t="s">
        <v>318</v>
      </c>
      <c r="B15" s="336"/>
      <c r="C15" s="336"/>
      <c r="D15" s="474">
        <f>+D9-D12</f>
        <v>253086593.91</v>
      </c>
      <c r="E15" s="474">
        <f>+E7</f>
        <v>253086593.91</v>
      </c>
      <c r="F15" s="310"/>
    </row>
    <row r="16" spans="1:6" ht="16.5" customHeight="1">
      <c r="A16" s="312"/>
      <c r="B16" s="307"/>
      <c r="C16" s="307"/>
      <c r="D16" s="305"/>
      <c r="E16" s="303">
        <f>+D15-E15</f>
        <v>0</v>
      </c>
    </row>
    <row r="17" spans="1:6" ht="16.5" customHeight="1">
      <c r="A17" s="373" t="s">
        <v>24</v>
      </c>
      <c r="B17" s="374"/>
      <c r="C17" s="374"/>
      <c r="D17" s="375"/>
      <c r="E17" s="376"/>
      <c r="F17" s="377"/>
    </row>
    <row r="18" spans="1:6" ht="16.5" customHeight="1" thickBot="1">
      <c r="A18" s="378" t="str">
        <f>+A5</f>
        <v>JUNIO 30/20</v>
      </c>
      <c r="B18" s="379"/>
      <c r="C18" s="379"/>
      <c r="D18" s="380"/>
      <c r="E18" s="381"/>
      <c r="F18" s="382"/>
    </row>
    <row r="19" spans="1:6" ht="16.5" customHeight="1">
      <c r="A19" s="583" t="s">
        <v>15</v>
      </c>
      <c r="B19" s="584" t="s">
        <v>10</v>
      </c>
      <c r="C19" s="986" t="s">
        <v>21</v>
      </c>
      <c r="D19" s="986"/>
      <c r="E19" s="986"/>
      <c r="F19" s="585" t="s">
        <v>16</v>
      </c>
    </row>
    <row r="20" spans="1:6" ht="16.5" customHeight="1">
      <c r="A20" s="586">
        <v>43129</v>
      </c>
      <c r="B20" s="314" t="s">
        <v>20</v>
      </c>
      <c r="C20" s="580" t="s">
        <v>146</v>
      </c>
      <c r="D20" s="580"/>
      <c r="E20" s="580"/>
      <c r="F20" s="587">
        <f>492776-200000</f>
        <v>292776</v>
      </c>
    </row>
    <row r="21" spans="1:6" ht="16.5" customHeight="1">
      <c r="A21" s="586">
        <v>43211</v>
      </c>
      <c r="B21" s="314" t="s">
        <v>153</v>
      </c>
      <c r="C21" s="580" t="s">
        <v>154</v>
      </c>
      <c r="D21" s="316"/>
      <c r="E21" s="316"/>
      <c r="F21" s="587">
        <v>10000</v>
      </c>
    </row>
    <row r="22" spans="1:6" ht="16.5" customHeight="1" thickBot="1">
      <c r="A22" s="586">
        <v>43225</v>
      </c>
      <c r="B22" s="314" t="s">
        <v>20</v>
      </c>
      <c r="C22" s="580" t="s">
        <v>158</v>
      </c>
      <c r="D22" s="316"/>
      <c r="E22" s="316"/>
      <c r="F22" s="588">
        <v>276700</v>
      </c>
    </row>
    <row r="23" spans="1:6" ht="16.5" customHeight="1">
      <c r="A23" s="331">
        <v>43311</v>
      </c>
      <c r="B23" s="318" t="s">
        <v>20</v>
      </c>
      <c r="C23" s="319" t="s">
        <v>163</v>
      </c>
      <c r="D23" s="319"/>
      <c r="E23" s="320">
        <v>1076000</v>
      </c>
      <c r="F23" s="987">
        <f>1076000+E24+E25+E26</f>
        <v>186500</v>
      </c>
    </row>
    <row r="24" spans="1:6" ht="16.5" customHeight="1">
      <c r="A24" s="332">
        <v>43312</v>
      </c>
      <c r="B24" s="581" t="s">
        <v>678</v>
      </c>
      <c r="C24" s="321" t="s">
        <v>308</v>
      </c>
      <c r="D24" s="321" t="s">
        <v>309</v>
      </c>
      <c r="E24" s="322">
        <v>-199800</v>
      </c>
      <c r="F24" s="988"/>
    </row>
    <row r="25" spans="1:6" ht="16.5" customHeight="1">
      <c r="A25" s="332">
        <v>43312</v>
      </c>
      <c r="B25" s="581" t="s">
        <v>679</v>
      </c>
      <c r="C25" s="321" t="s">
        <v>311</v>
      </c>
      <c r="D25" s="321" t="s">
        <v>312</v>
      </c>
      <c r="E25" s="322">
        <v>-343700</v>
      </c>
      <c r="F25" s="988"/>
    </row>
    <row r="26" spans="1:6" ht="16.5" customHeight="1" thickBot="1">
      <c r="A26" s="333">
        <v>43312</v>
      </c>
      <c r="B26" s="581" t="s">
        <v>679</v>
      </c>
      <c r="C26" s="323" t="s">
        <v>313</v>
      </c>
      <c r="D26" s="323" t="s">
        <v>314</v>
      </c>
      <c r="E26" s="324">
        <v>-346000</v>
      </c>
      <c r="F26" s="989"/>
    </row>
    <row r="27" spans="1:6" ht="16.5" customHeight="1">
      <c r="A27" s="332">
        <v>43363</v>
      </c>
      <c r="B27" s="314" t="s">
        <v>170</v>
      </c>
      <c r="C27" s="990" t="s">
        <v>171</v>
      </c>
      <c r="D27" s="991"/>
      <c r="E27" s="992"/>
      <c r="F27" s="589">
        <v>52000</v>
      </c>
    </row>
    <row r="28" spans="1:6" ht="16.5" customHeight="1">
      <c r="A28" s="332">
        <v>43367</v>
      </c>
      <c r="B28" s="314" t="s">
        <v>20</v>
      </c>
      <c r="C28" s="993" t="s">
        <v>168</v>
      </c>
      <c r="D28" s="994"/>
      <c r="E28" s="995"/>
      <c r="F28" s="589">
        <v>15000</v>
      </c>
    </row>
    <row r="29" spans="1:6" ht="16.5" customHeight="1">
      <c r="A29" s="332">
        <v>43371</v>
      </c>
      <c r="B29" s="314" t="s">
        <v>20</v>
      </c>
      <c r="C29" s="993" t="s">
        <v>169</v>
      </c>
      <c r="D29" s="994"/>
      <c r="E29" s="995"/>
      <c r="F29" s="589">
        <v>45000</v>
      </c>
    </row>
    <row r="30" spans="1:6" ht="16.5" customHeight="1">
      <c r="A30" s="332">
        <v>43504</v>
      </c>
      <c r="B30" s="314" t="s">
        <v>20</v>
      </c>
      <c r="C30" s="580" t="s">
        <v>180</v>
      </c>
      <c r="D30" s="580"/>
      <c r="E30" s="580"/>
      <c r="F30" s="589">
        <v>832500</v>
      </c>
    </row>
    <row r="31" spans="1:6" ht="16.5" customHeight="1">
      <c r="A31" s="332">
        <v>43564</v>
      </c>
      <c r="B31" s="314" t="s">
        <v>20</v>
      </c>
      <c r="C31" s="580" t="s">
        <v>188</v>
      </c>
      <c r="D31" s="580"/>
      <c r="E31" s="580"/>
      <c r="F31" s="589">
        <v>340000</v>
      </c>
    </row>
    <row r="32" spans="1:6" ht="16.5" customHeight="1">
      <c r="A32" s="332">
        <v>43770</v>
      </c>
      <c r="B32" s="314" t="s">
        <v>437</v>
      </c>
      <c r="C32" s="580" t="s">
        <v>481</v>
      </c>
      <c r="D32" s="580" t="s">
        <v>482</v>
      </c>
      <c r="E32" s="580"/>
      <c r="F32" s="589">
        <v>102000</v>
      </c>
    </row>
    <row r="33" spans="1:6" ht="16.5" customHeight="1">
      <c r="A33" s="332">
        <v>43770</v>
      </c>
      <c r="B33" s="314" t="s">
        <v>437</v>
      </c>
      <c r="C33" s="580" t="s">
        <v>481</v>
      </c>
      <c r="D33" s="580" t="s">
        <v>482</v>
      </c>
      <c r="E33" s="580"/>
      <c r="F33" s="589">
        <v>660700</v>
      </c>
    </row>
    <row r="34" spans="1:6" ht="16.5" customHeight="1">
      <c r="A34" s="332" t="s">
        <v>1031</v>
      </c>
      <c r="B34" s="314" t="s">
        <v>153</v>
      </c>
      <c r="C34" s="580">
        <v>43260</v>
      </c>
      <c r="D34" s="580" t="s">
        <v>1032</v>
      </c>
      <c r="E34" s="580"/>
      <c r="F34" s="589">
        <v>43260</v>
      </c>
    </row>
    <row r="35" spans="1:6" ht="16.5" customHeight="1">
      <c r="A35" s="332" t="s">
        <v>1031</v>
      </c>
      <c r="B35" s="314" t="s">
        <v>153</v>
      </c>
      <c r="C35" s="580">
        <v>82330</v>
      </c>
      <c r="D35" s="580" t="s">
        <v>1032</v>
      </c>
      <c r="E35" s="580"/>
      <c r="F35" s="589">
        <v>82330</v>
      </c>
    </row>
    <row r="36" spans="1:6" ht="16.5" customHeight="1">
      <c r="A36" s="332" t="s">
        <v>1089</v>
      </c>
      <c r="B36" s="314" t="s">
        <v>1044</v>
      </c>
      <c r="C36" s="580" t="s">
        <v>1090</v>
      </c>
      <c r="D36" s="580"/>
      <c r="E36" s="580"/>
      <c r="F36" s="589">
        <v>265000</v>
      </c>
    </row>
    <row r="37" spans="1:6" ht="16.5" customHeight="1">
      <c r="A37" s="332" t="s">
        <v>1091</v>
      </c>
      <c r="B37" s="314" t="s">
        <v>1044</v>
      </c>
      <c r="C37" s="580" t="s">
        <v>1092</v>
      </c>
      <c r="D37" s="580"/>
      <c r="E37" s="580"/>
      <c r="F37" s="589">
        <v>214200</v>
      </c>
    </row>
    <row r="38" spans="1:6" ht="16.5" customHeight="1" thickBot="1">
      <c r="A38" s="332"/>
      <c r="B38" s="314"/>
      <c r="C38" s="580"/>
      <c r="D38" s="580"/>
      <c r="E38" s="580"/>
      <c r="F38" s="589"/>
    </row>
    <row r="39" spans="1:6" ht="16.5" customHeight="1" thickBot="1">
      <c r="A39" s="590"/>
      <c r="B39" s="591"/>
      <c r="C39" s="984" t="s">
        <v>13</v>
      </c>
      <c r="D39" s="984"/>
      <c r="E39" s="985"/>
      <c r="F39" s="435">
        <f>SUM(F20:F38)</f>
        <v>3417966</v>
      </c>
    </row>
    <row r="40" spans="1:6" ht="21" customHeight="1" thickBot="1">
      <c r="A40" s="847" t="s">
        <v>382</v>
      </c>
      <c r="B40" s="432"/>
      <c r="C40" s="432"/>
      <c r="D40" s="432"/>
      <c r="E40" s="848"/>
      <c r="F40" s="328"/>
    </row>
    <row r="44" spans="1:6" ht="16.5" customHeight="1">
      <c r="A44" s="996" t="s">
        <v>18</v>
      </c>
      <c r="B44" s="996"/>
      <c r="C44" s="996"/>
      <c r="D44" s="996"/>
      <c r="E44" s="996"/>
      <c r="F44" s="996"/>
    </row>
    <row r="45" spans="1:6" ht="16.5" customHeight="1">
      <c r="A45" s="996" t="s">
        <v>19</v>
      </c>
      <c r="B45" s="996"/>
      <c r="C45" s="996"/>
      <c r="D45" s="996"/>
      <c r="E45" s="996"/>
      <c r="F45" s="996"/>
    </row>
    <row r="46" spans="1:6" ht="16.5" customHeight="1">
      <c r="A46" s="996" t="s">
        <v>22</v>
      </c>
      <c r="B46" s="996"/>
      <c r="C46" s="996"/>
      <c r="D46" s="996"/>
      <c r="E46" s="996"/>
      <c r="F46" s="996"/>
    </row>
    <row r="47" spans="1:6" ht="16.5" customHeight="1">
      <c r="A47" s="996" t="s">
        <v>23</v>
      </c>
      <c r="B47" s="996"/>
      <c r="C47" s="996"/>
      <c r="D47" s="996"/>
      <c r="E47" s="996"/>
      <c r="F47" s="996"/>
    </row>
    <row r="48" spans="1:6" ht="16.5" customHeight="1">
      <c r="A48" s="997" t="s">
        <v>1030</v>
      </c>
      <c r="B48" s="998"/>
      <c r="C48" s="998"/>
      <c r="D48" s="998"/>
      <c r="E48" s="998"/>
      <c r="F48" s="998"/>
    </row>
    <row r="50" spans="1:6" ht="16.5" customHeight="1">
      <c r="A50" s="304" t="s">
        <v>315</v>
      </c>
      <c r="D50" s="300"/>
      <c r="E50" s="305">
        <v>236334432.91</v>
      </c>
    </row>
    <row r="51" spans="1:6" ht="16.5" customHeight="1">
      <c r="E51" s="302"/>
    </row>
    <row r="52" spans="1:6" ht="16.5" customHeight="1">
      <c r="A52" s="304" t="s">
        <v>316</v>
      </c>
      <c r="D52" s="305">
        <v>236334432.91</v>
      </c>
      <c r="E52" s="302"/>
    </row>
    <row r="53" spans="1:6" ht="16.5" customHeight="1">
      <c r="E53" s="302">
        <f>+E50-D52</f>
        <v>0</v>
      </c>
    </row>
    <row r="54" spans="1:6" ht="16.5" customHeight="1">
      <c r="D54"/>
      <c r="E54" s="302"/>
    </row>
    <row r="55" spans="1:6" ht="16.5" customHeight="1">
      <c r="D55" s="305">
        <v>0</v>
      </c>
      <c r="E55" s="302"/>
    </row>
    <row r="56" spans="1:6" ht="16.5" customHeight="1" thickBot="1">
      <c r="D56" s="305"/>
      <c r="E56" s="302"/>
    </row>
    <row r="57" spans="1:6" ht="16.5" customHeight="1" thickBot="1">
      <c r="A57" s="460" t="s">
        <v>317</v>
      </c>
      <c r="B57" s="428"/>
      <c r="C57" s="428"/>
      <c r="D57" s="428"/>
      <c r="E57" s="461"/>
    </row>
    <row r="58" spans="1:6" ht="16.5" customHeight="1" thickBot="1">
      <c r="A58" s="458" t="s">
        <v>15</v>
      </c>
      <c r="B58" s="429" t="s">
        <v>381</v>
      </c>
      <c r="C58" s="429" t="s">
        <v>380</v>
      </c>
      <c r="D58" s="429" t="s">
        <v>378</v>
      </c>
      <c r="E58" s="459" t="s">
        <v>16</v>
      </c>
    </row>
    <row r="59" spans="1:6" ht="16.5" customHeight="1">
      <c r="A59" s="582"/>
      <c r="D59" s="472"/>
      <c r="E59" s="473"/>
    </row>
    <row r="60" spans="1:6" ht="16.5" customHeight="1" thickBot="1">
      <c r="A60" s="462"/>
      <c r="B60" s="434"/>
      <c r="C60" s="434"/>
      <c r="D60" s="457"/>
      <c r="E60" s="463"/>
    </row>
    <row r="61" spans="1:6" ht="16.5" customHeight="1" thickBot="1">
      <c r="A61" s="464" t="s">
        <v>379</v>
      </c>
      <c r="B61" s="430"/>
      <c r="C61" s="430"/>
      <c r="D61" s="430"/>
      <c r="E61" s="475">
        <f>SUM(E59:E60)</f>
        <v>0</v>
      </c>
      <c r="F61" s="308"/>
    </row>
    <row r="62" spans="1:6" ht="16.5" customHeight="1">
      <c r="A62" s="306"/>
      <c r="B62" s="309"/>
      <c r="C62" s="309"/>
      <c r="E62" s="305"/>
      <c r="F62" s="307"/>
    </row>
    <row r="63" spans="1:6" ht="16.5" customHeight="1">
      <c r="A63" s="335" t="s">
        <v>318</v>
      </c>
      <c r="B63" s="336"/>
      <c r="C63" s="336"/>
      <c r="D63" s="474">
        <f>+D52-D56</f>
        <v>236334432.91</v>
      </c>
      <c r="E63" s="474">
        <f>+E50</f>
        <v>236334432.91</v>
      </c>
      <c r="F63" s="310"/>
    </row>
    <row r="64" spans="1:6" ht="16.5" customHeight="1">
      <c r="A64" s="312"/>
      <c r="B64" s="307"/>
      <c r="C64" s="307"/>
      <c r="D64" s="305"/>
      <c r="E64" s="303">
        <f>+D63-E63</f>
        <v>0</v>
      </c>
    </row>
    <row r="65" spans="1:6" ht="16.5" customHeight="1">
      <c r="A65" s="373" t="s">
        <v>24</v>
      </c>
      <c r="B65" s="374"/>
      <c r="C65" s="374"/>
      <c r="D65" s="375"/>
      <c r="E65" s="376"/>
      <c r="F65" s="377"/>
    </row>
    <row r="66" spans="1:6" ht="16.5" customHeight="1" thickBot="1">
      <c r="A66" s="378" t="str">
        <f>+A48</f>
        <v>MAYO 31/20</v>
      </c>
      <c r="B66" s="379"/>
      <c r="C66" s="379"/>
      <c r="D66" s="380"/>
      <c r="E66" s="381"/>
      <c r="F66" s="382"/>
    </row>
    <row r="67" spans="1:6" ht="16.5" customHeight="1">
      <c r="A67" s="583" t="s">
        <v>15</v>
      </c>
      <c r="B67" s="584" t="s">
        <v>10</v>
      </c>
      <c r="C67" s="986" t="s">
        <v>21</v>
      </c>
      <c r="D67" s="986"/>
      <c r="E67" s="986"/>
      <c r="F67" s="585" t="s">
        <v>16</v>
      </c>
    </row>
    <row r="68" spans="1:6" ht="16.5" customHeight="1">
      <c r="A68" s="586">
        <v>43129</v>
      </c>
      <c r="B68" s="314" t="s">
        <v>20</v>
      </c>
      <c r="C68" s="580" t="s">
        <v>146</v>
      </c>
      <c r="D68" s="580"/>
      <c r="E68" s="580"/>
      <c r="F68" s="587">
        <f>492776-200000</f>
        <v>292776</v>
      </c>
    </row>
    <row r="69" spans="1:6" ht="16.5" customHeight="1">
      <c r="A69" s="586">
        <v>43211</v>
      </c>
      <c r="B69" s="314" t="s">
        <v>153</v>
      </c>
      <c r="C69" s="580" t="s">
        <v>154</v>
      </c>
      <c r="D69" s="316"/>
      <c r="E69" s="316"/>
      <c r="F69" s="587">
        <v>10000</v>
      </c>
    </row>
    <row r="70" spans="1:6" ht="16.5" customHeight="1" thickBot="1">
      <c r="A70" s="586">
        <v>43225</v>
      </c>
      <c r="B70" s="314" t="s">
        <v>20</v>
      </c>
      <c r="C70" s="580" t="s">
        <v>158</v>
      </c>
      <c r="D70" s="316"/>
      <c r="E70" s="316"/>
      <c r="F70" s="588">
        <v>276700</v>
      </c>
    </row>
    <row r="71" spans="1:6" ht="16.5" customHeight="1">
      <c r="A71" s="331">
        <v>43311</v>
      </c>
      <c r="B71" s="318" t="s">
        <v>20</v>
      </c>
      <c r="C71" s="319" t="s">
        <v>163</v>
      </c>
      <c r="D71" s="319"/>
      <c r="E71" s="320">
        <v>1076000</v>
      </c>
      <c r="F71" s="987">
        <f>1076000+E72+E73+E74</f>
        <v>186500</v>
      </c>
    </row>
    <row r="72" spans="1:6" ht="16.5" customHeight="1">
      <c r="A72" s="332">
        <v>43312</v>
      </c>
      <c r="B72" s="581" t="s">
        <v>678</v>
      </c>
      <c r="C72" s="321" t="s">
        <v>308</v>
      </c>
      <c r="D72" s="321" t="s">
        <v>309</v>
      </c>
      <c r="E72" s="322">
        <v>-199800</v>
      </c>
      <c r="F72" s="988"/>
    </row>
    <row r="73" spans="1:6" ht="16.5" customHeight="1">
      <c r="A73" s="332">
        <v>43312</v>
      </c>
      <c r="B73" s="581" t="s">
        <v>679</v>
      </c>
      <c r="C73" s="321" t="s">
        <v>311</v>
      </c>
      <c r="D73" s="321" t="s">
        <v>312</v>
      </c>
      <c r="E73" s="322">
        <v>-343700</v>
      </c>
      <c r="F73" s="988"/>
    </row>
    <row r="74" spans="1:6" ht="16.5" customHeight="1" thickBot="1">
      <c r="A74" s="333">
        <v>43312</v>
      </c>
      <c r="B74" s="581" t="s">
        <v>679</v>
      </c>
      <c r="C74" s="323" t="s">
        <v>313</v>
      </c>
      <c r="D74" s="323" t="s">
        <v>314</v>
      </c>
      <c r="E74" s="324">
        <v>-346000</v>
      </c>
      <c r="F74" s="989"/>
    </row>
    <row r="75" spans="1:6" ht="16.5" customHeight="1">
      <c r="A75" s="332">
        <v>43363</v>
      </c>
      <c r="B75" s="314" t="s">
        <v>170</v>
      </c>
      <c r="C75" s="990" t="s">
        <v>171</v>
      </c>
      <c r="D75" s="991"/>
      <c r="E75" s="992"/>
      <c r="F75" s="589">
        <v>52000</v>
      </c>
    </row>
    <row r="76" spans="1:6" ht="16.5" customHeight="1">
      <c r="A76" s="332">
        <v>43367</v>
      </c>
      <c r="B76" s="314" t="s">
        <v>20</v>
      </c>
      <c r="C76" s="993" t="s">
        <v>168</v>
      </c>
      <c r="D76" s="994"/>
      <c r="E76" s="995"/>
      <c r="F76" s="589">
        <v>15000</v>
      </c>
    </row>
    <row r="77" spans="1:6" ht="16.5" customHeight="1">
      <c r="A77" s="332">
        <v>43371</v>
      </c>
      <c r="B77" s="314" t="s">
        <v>20</v>
      </c>
      <c r="C77" s="993" t="s">
        <v>169</v>
      </c>
      <c r="D77" s="994"/>
      <c r="E77" s="995"/>
      <c r="F77" s="589">
        <v>45000</v>
      </c>
    </row>
    <row r="78" spans="1:6" ht="16.5" customHeight="1">
      <c r="A78" s="332">
        <v>43504</v>
      </c>
      <c r="B78" s="314" t="s">
        <v>20</v>
      </c>
      <c r="C78" s="580" t="s">
        <v>180</v>
      </c>
      <c r="D78" s="580"/>
      <c r="E78" s="580"/>
      <c r="F78" s="589">
        <v>832500</v>
      </c>
    </row>
    <row r="79" spans="1:6" ht="16.5" customHeight="1">
      <c r="A79" s="332">
        <v>43564</v>
      </c>
      <c r="B79" s="314" t="s">
        <v>20</v>
      </c>
      <c r="C79" s="580" t="s">
        <v>188</v>
      </c>
      <c r="D79" s="580"/>
      <c r="E79" s="580"/>
      <c r="F79" s="589">
        <v>340000</v>
      </c>
    </row>
    <row r="80" spans="1:6" ht="16.5" customHeight="1">
      <c r="A80" s="332">
        <v>43770</v>
      </c>
      <c r="B80" s="314" t="s">
        <v>437</v>
      </c>
      <c r="C80" s="580" t="s">
        <v>481</v>
      </c>
      <c r="D80" s="580" t="s">
        <v>482</v>
      </c>
      <c r="E80" s="580"/>
      <c r="F80" s="589">
        <v>102000</v>
      </c>
    </row>
    <row r="81" spans="1:7" ht="16.5" customHeight="1">
      <c r="A81" s="332">
        <v>43770</v>
      </c>
      <c r="B81" s="314" t="s">
        <v>437</v>
      </c>
      <c r="C81" s="580" t="s">
        <v>481</v>
      </c>
      <c r="D81" s="580" t="s">
        <v>482</v>
      </c>
      <c r="E81" s="580"/>
      <c r="F81" s="589">
        <v>660700</v>
      </c>
    </row>
    <row r="82" spans="1:7" ht="16.5" customHeight="1">
      <c r="A82" s="332" t="s">
        <v>1031</v>
      </c>
      <c r="B82" s="314" t="s">
        <v>153</v>
      </c>
      <c r="C82" s="580">
        <v>43260</v>
      </c>
      <c r="D82" s="580" t="s">
        <v>1032</v>
      </c>
      <c r="E82" s="580"/>
      <c r="F82" s="589">
        <v>43260</v>
      </c>
    </row>
    <row r="83" spans="1:7" ht="16.5" customHeight="1">
      <c r="A83" s="332" t="s">
        <v>1031</v>
      </c>
      <c r="B83" s="314" t="s">
        <v>153</v>
      </c>
      <c r="C83" s="580">
        <v>82330</v>
      </c>
      <c r="D83" s="580" t="s">
        <v>1032</v>
      </c>
      <c r="E83" s="580"/>
      <c r="F83" s="589">
        <v>82330</v>
      </c>
    </row>
    <row r="84" spans="1:7" ht="16.5" customHeight="1">
      <c r="A84" s="332" t="s">
        <v>1033</v>
      </c>
      <c r="B84" s="314" t="s">
        <v>1035</v>
      </c>
      <c r="C84" s="580"/>
      <c r="D84" s="580" t="s">
        <v>1036</v>
      </c>
      <c r="E84" s="580"/>
      <c r="F84" s="589">
        <v>300000</v>
      </c>
      <c r="G84" s="300" t="s">
        <v>1080</v>
      </c>
    </row>
    <row r="85" spans="1:7" ht="16.5" customHeight="1">
      <c r="A85" s="332" t="s">
        <v>1034</v>
      </c>
      <c r="B85" s="314" t="s">
        <v>1035</v>
      </c>
      <c r="C85" s="580"/>
      <c r="D85" s="580" t="s">
        <v>1037</v>
      </c>
      <c r="E85" s="580"/>
      <c r="F85" s="589">
        <v>385000</v>
      </c>
      <c r="G85" s="300" t="s">
        <v>1083</v>
      </c>
    </row>
    <row r="86" spans="1:7" ht="16.5" customHeight="1">
      <c r="A86" s="332" t="s">
        <v>1038</v>
      </c>
      <c r="B86" s="314" t="s">
        <v>1035</v>
      </c>
      <c r="C86" s="580"/>
      <c r="D86" s="580" t="s">
        <v>1039</v>
      </c>
      <c r="E86" s="580"/>
      <c r="F86" s="589">
        <v>272000</v>
      </c>
      <c r="G86" s="300" t="s">
        <v>1081</v>
      </c>
    </row>
    <row r="87" spans="1:7" ht="16.5" customHeight="1">
      <c r="A87" s="332" t="s">
        <v>1040</v>
      </c>
      <c r="B87" s="314" t="s">
        <v>20</v>
      </c>
      <c r="C87" s="580"/>
      <c r="D87" s="580" t="s">
        <v>1041</v>
      </c>
      <c r="E87" s="580"/>
      <c r="F87" s="589">
        <v>462000</v>
      </c>
      <c r="G87" s="300" t="s">
        <v>1082</v>
      </c>
    </row>
    <row r="88" spans="1:7" ht="16.5" customHeight="1" thickBot="1">
      <c r="A88" s="332" t="s">
        <v>1043</v>
      </c>
      <c r="B88" s="314" t="s">
        <v>1044</v>
      </c>
      <c r="C88" s="580"/>
      <c r="D88" s="580" t="s">
        <v>1042</v>
      </c>
      <c r="E88" s="580"/>
      <c r="F88" s="589">
        <v>316000</v>
      </c>
      <c r="G88" s="300" t="s">
        <v>1084</v>
      </c>
    </row>
    <row r="89" spans="1:7" ht="16.5" customHeight="1" thickBot="1">
      <c r="A89" s="590"/>
      <c r="B89" s="591"/>
      <c r="C89" s="984" t="s">
        <v>13</v>
      </c>
      <c r="D89" s="984"/>
      <c r="E89" s="985"/>
      <c r="F89" s="435">
        <f>SUM(F68:F88)</f>
        <v>4673766</v>
      </c>
    </row>
    <row r="90" spans="1:7" ht="16.5" customHeight="1" thickBot="1">
      <c r="A90" s="431" t="s">
        <v>382</v>
      </c>
      <c r="B90" s="432"/>
      <c r="C90" s="432"/>
      <c r="D90" s="432"/>
      <c r="E90" s="433"/>
      <c r="F90" s="328"/>
    </row>
    <row r="95" spans="1:7" ht="16.5" customHeight="1">
      <c r="A95" s="996" t="s">
        <v>18</v>
      </c>
      <c r="B95" s="996"/>
      <c r="C95" s="996"/>
      <c r="D95" s="996"/>
      <c r="E95" s="996"/>
      <c r="F95" s="996"/>
    </row>
    <row r="96" spans="1:7" ht="16.5" customHeight="1">
      <c r="A96" s="996" t="s">
        <v>19</v>
      </c>
      <c r="B96" s="996"/>
      <c r="C96" s="996"/>
      <c r="D96" s="996"/>
      <c r="E96" s="996"/>
      <c r="F96" s="996"/>
    </row>
    <row r="97" spans="1:6" ht="16.5" customHeight="1">
      <c r="A97" s="996" t="s">
        <v>22</v>
      </c>
      <c r="B97" s="996"/>
      <c r="C97" s="996"/>
      <c r="D97" s="996"/>
      <c r="E97" s="996"/>
      <c r="F97" s="996"/>
    </row>
    <row r="98" spans="1:6" ht="16.5" customHeight="1">
      <c r="A98" s="996" t="s">
        <v>23</v>
      </c>
      <c r="B98" s="996"/>
      <c r="C98" s="996"/>
      <c r="D98" s="996"/>
      <c r="E98" s="996"/>
      <c r="F98" s="996"/>
    </row>
    <row r="99" spans="1:6" ht="16.5" customHeight="1">
      <c r="A99" s="997" t="s">
        <v>1015</v>
      </c>
      <c r="B99" s="998"/>
      <c r="C99" s="998"/>
      <c r="D99" s="998"/>
      <c r="E99" s="998"/>
      <c r="F99" s="998"/>
    </row>
    <row r="101" spans="1:6" ht="16.5" customHeight="1">
      <c r="A101" s="304" t="s">
        <v>315</v>
      </c>
      <c r="D101" s="300"/>
      <c r="E101" s="305">
        <v>184343901.91</v>
      </c>
    </row>
    <row r="102" spans="1:6" ht="16.5" customHeight="1">
      <c r="E102" s="302"/>
    </row>
    <row r="103" spans="1:6" ht="16.5" customHeight="1">
      <c r="A103" s="304" t="s">
        <v>316</v>
      </c>
      <c r="D103" s="305">
        <v>184659901.91</v>
      </c>
      <c r="E103" s="302"/>
    </row>
    <row r="104" spans="1:6" ht="16.5" customHeight="1">
      <c r="E104" s="302">
        <f>+E101-D103</f>
        <v>-316000</v>
      </c>
    </row>
    <row r="105" spans="1:6" ht="16.5" customHeight="1">
      <c r="D105"/>
      <c r="E105" s="302"/>
    </row>
    <row r="106" spans="1:6" ht="16.5" customHeight="1">
      <c r="A106" s="301" t="s">
        <v>1016</v>
      </c>
      <c r="D106" s="305">
        <v>0</v>
      </c>
      <c r="E106" s="302"/>
    </row>
    <row r="107" spans="1:6" ht="16.5" customHeight="1" thickBot="1">
      <c r="A107" s="301" t="s">
        <v>1017</v>
      </c>
      <c r="D107" s="305">
        <v>316000</v>
      </c>
      <c r="E107" s="302"/>
    </row>
    <row r="108" spans="1:6" ht="16.5" customHeight="1" thickBot="1">
      <c r="A108" s="460" t="s">
        <v>317</v>
      </c>
      <c r="B108" s="428"/>
      <c r="C108" s="428"/>
      <c r="D108" s="428"/>
      <c r="E108" s="461"/>
    </row>
    <row r="109" spans="1:6" ht="16.5" customHeight="1" thickBot="1">
      <c r="A109" s="458" t="s">
        <v>15</v>
      </c>
      <c r="B109" s="429" t="s">
        <v>381</v>
      </c>
      <c r="C109" s="429" t="s">
        <v>380</v>
      </c>
      <c r="D109" s="429" t="s">
        <v>378</v>
      </c>
      <c r="E109" s="459" t="s">
        <v>16</v>
      </c>
    </row>
    <row r="110" spans="1:6" ht="16.5" customHeight="1">
      <c r="A110" s="582"/>
      <c r="D110" s="472"/>
      <c r="E110" s="473"/>
    </row>
    <row r="111" spans="1:6" ht="16.5" customHeight="1" thickBot="1">
      <c r="A111" s="462"/>
      <c r="B111" s="434"/>
      <c r="C111" s="434"/>
      <c r="D111" s="457"/>
      <c r="E111" s="463"/>
    </row>
    <row r="112" spans="1:6" ht="16.5" customHeight="1" thickBot="1">
      <c r="A112" s="464" t="s">
        <v>379</v>
      </c>
      <c r="B112" s="430"/>
      <c r="C112" s="430"/>
      <c r="D112" s="430"/>
      <c r="E112" s="475">
        <f>SUM(E110:E111)</f>
        <v>0</v>
      </c>
      <c r="F112" s="308"/>
    </row>
    <row r="113" spans="1:6" ht="16.5" customHeight="1">
      <c r="A113" s="306"/>
      <c r="B113" s="309"/>
      <c r="C113" s="309"/>
      <c r="E113" s="305"/>
      <c r="F113" s="307"/>
    </row>
    <row r="114" spans="1:6" ht="16.5" customHeight="1">
      <c r="A114" s="335" t="s">
        <v>318</v>
      </c>
      <c r="B114" s="336"/>
      <c r="C114" s="336"/>
      <c r="D114" s="474">
        <f>+D103-D107</f>
        <v>184343901.91</v>
      </c>
      <c r="E114" s="474">
        <f>+E101</f>
        <v>184343901.91</v>
      </c>
      <c r="F114" s="310"/>
    </row>
    <row r="115" spans="1:6" ht="16.5" customHeight="1">
      <c r="A115" s="312"/>
      <c r="B115" s="307"/>
      <c r="C115" s="307"/>
      <c r="D115" s="305"/>
      <c r="E115" s="303">
        <f>+D114-E114</f>
        <v>0</v>
      </c>
    </row>
    <row r="116" spans="1:6" ht="16.5" customHeight="1">
      <c r="A116" s="373" t="s">
        <v>24</v>
      </c>
      <c r="B116" s="374"/>
      <c r="C116" s="374"/>
      <c r="D116" s="375"/>
      <c r="E116" s="376"/>
      <c r="F116" s="377"/>
    </row>
    <row r="117" spans="1:6" ht="16.5" customHeight="1" thickBot="1">
      <c r="A117" s="378" t="str">
        <f>+A99</f>
        <v>ABRIL  30/20</v>
      </c>
      <c r="B117" s="379"/>
      <c r="C117" s="379"/>
      <c r="D117" s="380"/>
      <c r="E117" s="381"/>
      <c r="F117" s="382"/>
    </row>
    <row r="118" spans="1:6" ht="16.5" customHeight="1">
      <c r="A118" s="583" t="s">
        <v>15</v>
      </c>
      <c r="B118" s="584" t="s">
        <v>10</v>
      </c>
      <c r="C118" s="986" t="s">
        <v>21</v>
      </c>
      <c r="D118" s="986"/>
      <c r="E118" s="986"/>
      <c r="F118" s="585" t="s">
        <v>16</v>
      </c>
    </row>
    <row r="119" spans="1:6" ht="16.5" customHeight="1">
      <c r="A119" s="586">
        <v>43129</v>
      </c>
      <c r="B119" s="314" t="s">
        <v>20</v>
      </c>
      <c r="C119" s="580" t="s">
        <v>146</v>
      </c>
      <c r="D119" s="580"/>
      <c r="E119" s="580"/>
      <c r="F119" s="587">
        <f>492776-200000</f>
        <v>292776</v>
      </c>
    </row>
    <row r="120" spans="1:6" ht="16.5" customHeight="1">
      <c r="A120" s="586">
        <v>43211</v>
      </c>
      <c r="B120" s="314" t="s">
        <v>153</v>
      </c>
      <c r="C120" s="580" t="s">
        <v>154</v>
      </c>
      <c r="D120" s="316"/>
      <c r="E120" s="316"/>
      <c r="F120" s="587">
        <v>10000</v>
      </c>
    </row>
    <row r="121" spans="1:6" ht="16.5" customHeight="1" thickBot="1">
      <c r="A121" s="586">
        <v>43225</v>
      </c>
      <c r="B121" s="314" t="s">
        <v>20</v>
      </c>
      <c r="C121" s="580" t="s">
        <v>158</v>
      </c>
      <c r="D121" s="316"/>
      <c r="E121" s="316"/>
      <c r="F121" s="588">
        <v>276700</v>
      </c>
    </row>
    <row r="122" spans="1:6" ht="16.5" customHeight="1">
      <c r="A122" s="331">
        <v>43311</v>
      </c>
      <c r="B122" s="318" t="s">
        <v>20</v>
      </c>
      <c r="C122" s="319" t="s">
        <v>163</v>
      </c>
      <c r="D122" s="319"/>
      <c r="E122" s="320">
        <v>1076000</v>
      </c>
      <c r="F122" s="987">
        <f>1076000+E123+E124+E125</f>
        <v>186500</v>
      </c>
    </row>
    <row r="123" spans="1:6" ht="16.5" customHeight="1">
      <c r="A123" s="332">
        <v>43312</v>
      </c>
      <c r="B123" s="581" t="s">
        <v>678</v>
      </c>
      <c r="C123" s="321" t="s">
        <v>308</v>
      </c>
      <c r="D123" s="321" t="s">
        <v>309</v>
      </c>
      <c r="E123" s="322">
        <v>-199800</v>
      </c>
      <c r="F123" s="988"/>
    </row>
    <row r="124" spans="1:6" ht="16.5" customHeight="1">
      <c r="A124" s="332">
        <v>43312</v>
      </c>
      <c r="B124" s="581" t="s">
        <v>679</v>
      </c>
      <c r="C124" s="321" t="s">
        <v>311</v>
      </c>
      <c r="D124" s="321" t="s">
        <v>312</v>
      </c>
      <c r="E124" s="322">
        <v>-343700</v>
      </c>
      <c r="F124" s="988"/>
    </row>
    <row r="125" spans="1:6" ht="16.5" customHeight="1" thickBot="1">
      <c r="A125" s="333">
        <v>43312</v>
      </c>
      <c r="B125" s="581" t="s">
        <v>679</v>
      </c>
      <c r="C125" s="323" t="s">
        <v>313</v>
      </c>
      <c r="D125" s="323" t="s">
        <v>314</v>
      </c>
      <c r="E125" s="324">
        <v>-346000</v>
      </c>
      <c r="F125" s="989"/>
    </row>
    <row r="126" spans="1:6" ht="16.5" customHeight="1">
      <c r="A126" s="332">
        <v>43363</v>
      </c>
      <c r="B126" s="314" t="s">
        <v>170</v>
      </c>
      <c r="C126" s="990" t="s">
        <v>171</v>
      </c>
      <c r="D126" s="991"/>
      <c r="E126" s="992"/>
      <c r="F126" s="589">
        <v>52000</v>
      </c>
    </row>
    <row r="127" spans="1:6" ht="16.5" customHeight="1">
      <c r="A127" s="332">
        <v>43367</v>
      </c>
      <c r="B127" s="314" t="s">
        <v>20</v>
      </c>
      <c r="C127" s="993" t="s">
        <v>168</v>
      </c>
      <c r="D127" s="994"/>
      <c r="E127" s="995"/>
      <c r="F127" s="589">
        <v>15000</v>
      </c>
    </row>
    <row r="128" spans="1:6" ht="16.5" customHeight="1">
      <c r="A128" s="332">
        <v>43371</v>
      </c>
      <c r="B128" s="314" t="s">
        <v>20</v>
      </c>
      <c r="C128" s="993" t="s">
        <v>169</v>
      </c>
      <c r="D128" s="994"/>
      <c r="E128" s="995"/>
      <c r="F128" s="589">
        <v>45000</v>
      </c>
    </row>
    <row r="129" spans="1:6" ht="16.5" customHeight="1">
      <c r="A129" s="332">
        <v>43504</v>
      </c>
      <c r="B129" s="314" t="s">
        <v>20</v>
      </c>
      <c r="C129" s="580" t="s">
        <v>180</v>
      </c>
      <c r="D129" s="580"/>
      <c r="E129" s="580"/>
      <c r="F129" s="589">
        <v>832500</v>
      </c>
    </row>
    <row r="130" spans="1:6" ht="16.5" customHeight="1">
      <c r="A130" s="332">
        <v>43564</v>
      </c>
      <c r="B130" s="314" t="s">
        <v>20</v>
      </c>
      <c r="C130" s="580" t="s">
        <v>188</v>
      </c>
      <c r="D130" s="580"/>
      <c r="E130" s="580"/>
      <c r="F130" s="589">
        <v>340000</v>
      </c>
    </row>
    <row r="131" spans="1:6" ht="16.5" customHeight="1">
      <c r="A131" s="332">
        <v>43770</v>
      </c>
      <c r="B131" s="314" t="s">
        <v>437</v>
      </c>
      <c r="C131" s="580" t="s">
        <v>481</v>
      </c>
      <c r="D131" s="580" t="s">
        <v>482</v>
      </c>
      <c r="E131" s="580"/>
      <c r="F131" s="589">
        <v>102000</v>
      </c>
    </row>
    <row r="132" spans="1:6" ht="16.5" customHeight="1" thickBot="1">
      <c r="A132" s="332">
        <v>43770</v>
      </c>
      <c r="B132" s="314" t="s">
        <v>437</v>
      </c>
      <c r="C132" s="580" t="s">
        <v>481</v>
      </c>
      <c r="D132" s="580" t="s">
        <v>482</v>
      </c>
      <c r="E132" s="580"/>
      <c r="F132" s="589">
        <v>660700</v>
      </c>
    </row>
    <row r="133" spans="1:6" ht="16.5" customHeight="1" thickBot="1">
      <c r="A133" s="590"/>
      <c r="B133" s="591"/>
      <c r="C133" s="984" t="s">
        <v>13</v>
      </c>
      <c r="D133" s="984"/>
      <c r="E133" s="985"/>
      <c r="F133" s="435">
        <f>SUM(F119:F132)</f>
        <v>2813176</v>
      </c>
    </row>
    <row r="134" spans="1:6" ht="16.5" customHeight="1" thickBot="1">
      <c r="A134" s="431" t="s">
        <v>382</v>
      </c>
      <c r="B134" s="432"/>
      <c r="C134" s="432"/>
      <c r="D134" s="432"/>
      <c r="E134" s="433"/>
      <c r="F134" s="328"/>
    </row>
    <row r="139" spans="1:6" ht="16.5" customHeight="1">
      <c r="A139" s="996" t="s">
        <v>18</v>
      </c>
      <c r="B139" s="996"/>
      <c r="C139" s="996"/>
      <c r="D139" s="996"/>
      <c r="E139" s="996"/>
      <c r="F139" s="996"/>
    </row>
    <row r="140" spans="1:6" ht="16.5" customHeight="1">
      <c r="A140" s="996" t="s">
        <v>19</v>
      </c>
      <c r="B140" s="996"/>
      <c r="C140" s="996"/>
      <c r="D140" s="996"/>
      <c r="E140" s="996"/>
      <c r="F140" s="996"/>
    </row>
    <row r="141" spans="1:6" ht="16.5" customHeight="1">
      <c r="A141" s="996" t="s">
        <v>22</v>
      </c>
      <c r="B141" s="996"/>
      <c r="C141" s="996"/>
      <c r="D141" s="996"/>
      <c r="E141" s="996"/>
      <c r="F141" s="996"/>
    </row>
    <row r="142" spans="1:6" ht="16.5" customHeight="1">
      <c r="A142" s="996" t="s">
        <v>23</v>
      </c>
      <c r="B142" s="996"/>
      <c r="C142" s="996"/>
      <c r="D142" s="996"/>
      <c r="E142" s="996"/>
      <c r="F142" s="996"/>
    </row>
    <row r="143" spans="1:6" ht="16.5" customHeight="1">
      <c r="A143" s="997">
        <v>43891</v>
      </c>
      <c r="B143" s="998"/>
      <c r="C143" s="998"/>
      <c r="D143" s="998"/>
      <c r="E143" s="998"/>
      <c r="F143" s="998"/>
    </row>
    <row r="145" spans="1:6" ht="16.5" customHeight="1">
      <c r="A145" s="304" t="s">
        <v>315</v>
      </c>
      <c r="D145" s="300"/>
      <c r="E145" s="305">
        <v>171846000.91</v>
      </c>
    </row>
    <row r="146" spans="1:6" ht="16.5" customHeight="1">
      <c r="E146" s="302"/>
    </row>
    <row r="147" spans="1:6" ht="16.5" customHeight="1">
      <c r="A147" s="304" t="s">
        <v>316</v>
      </c>
      <c r="D147" s="305">
        <v>171846000.91</v>
      </c>
      <c r="E147" s="302"/>
    </row>
    <row r="148" spans="1:6" ht="16.5" customHeight="1">
      <c r="E148" s="302">
        <f>+E145-D147</f>
        <v>0</v>
      </c>
    </row>
    <row r="149" spans="1:6" ht="16.5" customHeight="1">
      <c r="D149"/>
      <c r="E149" s="302"/>
    </row>
    <row r="150" spans="1:6" ht="16.5" customHeight="1">
      <c r="A150" s="301" t="s">
        <v>317</v>
      </c>
      <c r="D150" s="305">
        <v>0</v>
      </c>
      <c r="E150" s="302"/>
    </row>
    <row r="151" spans="1:6" ht="16.5" customHeight="1" thickBot="1">
      <c r="D151" s="305"/>
      <c r="E151" s="302"/>
    </row>
    <row r="152" spans="1:6" ht="16.5" customHeight="1" thickBot="1">
      <c r="A152" s="460" t="s">
        <v>317</v>
      </c>
      <c r="B152" s="428"/>
      <c r="C152" s="428"/>
      <c r="D152" s="428"/>
      <c r="E152" s="461"/>
    </row>
    <row r="153" spans="1:6" ht="16.5" customHeight="1" thickBot="1">
      <c r="A153" s="458" t="s">
        <v>15</v>
      </c>
      <c r="B153" s="429" t="s">
        <v>381</v>
      </c>
      <c r="C153" s="429" t="s">
        <v>380</v>
      </c>
      <c r="D153" s="429" t="s">
        <v>378</v>
      </c>
      <c r="E153" s="459" t="s">
        <v>16</v>
      </c>
    </row>
    <row r="154" spans="1:6" ht="16.5" customHeight="1">
      <c r="A154" s="582"/>
      <c r="D154" s="472"/>
      <c r="E154" s="473"/>
    </row>
    <row r="155" spans="1:6" ht="16.5" customHeight="1" thickBot="1">
      <c r="A155" s="462"/>
      <c r="B155" s="434"/>
      <c r="C155" s="434"/>
      <c r="D155" s="457"/>
      <c r="E155" s="463"/>
    </row>
    <row r="156" spans="1:6" ht="16.5" customHeight="1" thickBot="1">
      <c r="A156" s="464" t="s">
        <v>379</v>
      </c>
      <c r="B156" s="430"/>
      <c r="C156" s="430"/>
      <c r="D156" s="430"/>
      <c r="E156" s="475">
        <f>SUM(E154:E155)</f>
        <v>0</v>
      </c>
      <c r="F156" s="308"/>
    </row>
    <row r="157" spans="1:6" ht="16.5" customHeight="1">
      <c r="A157" s="306"/>
      <c r="B157" s="309"/>
      <c r="C157" s="309"/>
      <c r="E157" s="305"/>
      <c r="F157" s="307"/>
    </row>
    <row r="158" spans="1:6" ht="16.5" customHeight="1">
      <c r="A158" s="335" t="s">
        <v>318</v>
      </c>
      <c r="B158" s="336"/>
      <c r="C158" s="336"/>
      <c r="D158" s="474">
        <f>+D147+D150</f>
        <v>171846000.91</v>
      </c>
      <c r="E158" s="474">
        <f>+E145</f>
        <v>171846000.91</v>
      </c>
      <c r="F158" s="310"/>
    </row>
    <row r="159" spans="1:6" ht="16.5" customHeight="1">
      <c r="A159" s="312"/>
      <c r="B159" s="307"/>
      <c r="C159" s="307"/>
      <c r="D159" s="305"/>
      <c r="E159" s="303">
        <f>+D158-E158</f>
        <v>0</v>
      </c>
    </row>
    <row r="160" spans="1:6" ht="16.5" customHeight="1">
      <c r="A160" s="373" t="s">
        <v>24</v>
      </c>
      <c r="B160" s="374"/>
      <c r="C160" s="374"/>
      <c r="D160" s="375"/>
      <c r="E160" s="376"/>
      <c r="F160" s="377"/>
    </row>
    <row r="161" spans="1:6" ht="16.5" customHeight="1" thickBot="1">
      <c r="A161" s="378">
        <f>+A143</f>
        <v>43891</v>
      </c>
      <c r="B161" s="379"/>
      <c r="C161" s="379"/>
      <c r="D161" s="380"/>
      <c r="E161" s="381"/>
      <c r="F161" s="382"/>
    </row>
    <row r="162" spans="1:6" ht="16.5" customHeight="1">
      <c r="A162" s="583" t="s">
        <v>15</v>
      </c>
      <c r="B162" s="584" t="s">
        <v>10</v>
      </c>
      <c r="C162" s="986" t="s">
        <v>21</v>
      </c>
      <c r="D162" s="986"/>
      <c r="E162" s="986"/>
      <c r="F162" s="585" t="s">
        <v>16</v>
      </c>
    </row>
    <row r="163" spans="1:6" ht="16.5" customHeight="1">
      <c r="A163" s="586">
        <v>43129</v>
      </c>
      <c r="B163" s="314" t="s">
        <v>20</v>
      </c>
      <c r="C163" s="580" t="s">
        <v>146</v>
      </c>
      <c r="D163" s="580"/>
      <c r="E163" s="580"/>
      <c r="F163" s="587">
        <f>492776-200000</f>
        <v>292776</v>
      </c>
    </row>
    <row r="164" spans="1:6" ht="16.5" customHeight="1">
      <c r="A164" s="586">
        <v>43211</v>
      </c>
      <c r="B164" s="314" t="s">
        <v>153</v>
      </c>
      <c r="C164" s="580" t="s">
        <v>154</v>
      </c>
      <c r="D164" s="316"/>
      <c r="E164" s="316"/>
      <c r="F164" s="587">
        <v>10000</v>
      </c>
    </row>
    <row r="165" spans="1:6" ht="16.5" customHeight="1" thickBot="1">
      <c r="A165" s="586">
        <v>43225</v>
      </c>
      <c r="B165" s="314" t="s">
        <v>20</v>
      </c>
      <c r="C165" s="580" t="s">
        <v>158</v>
      </c>
      <c r="D165" s="316"/>
      <c r="E165" s="316"/>
      <c r="F165" s="588">
        <v>276700</v>
      </c>
    </row>
    <row r="166" spans="1:6" ht="16.5" customHeight="1">
      <c r="A166" s="331">
        <v>43311</v>
      </c>
      <c r="B166" s="318" t="s">
        <v>20</v>
      </c>
      <c r="C166" s="319" t="s">
        <v>163</v>
      </c>
      <c r="D166" s="319"/>
      <c r="E166" s="320">
        <v>1076000</v>
      </c>
      <c r="F166" s="987">
        <f>1076000+E167+E168+E169</f>
        <v>186500</v>
      </c>
    </row>
    <row r="167" spans="1:6" ht="16.5" customHeight="1">
      <c r="A167" s="332">
        <v>43312</v>
      </c>
      <c r="B167" s="581" t="s">
        <v>678</v>
      </c>
      <c r="C167" s="321" t="s">
        <v>308</v>
      </c>
      <c r="D167" s="321" t="s">
        <v>309</v>
      </c>
      <c r="E167" s="322">
        <v>-199800</v>
      </c>
      <c r="F167" s="988"/>
    </row>
    <row r="168" spans="1:6" ht="16.5" customHeight="1">
      <c r="A168" s="332">
        <v>43312</v>
      </c>
      <c r="B168" s="581" t="s">
        <v>679</v>
      </c>
      <c r="C168" s="321" t="s">
        <v>311</v>
      </c>
      <c r="D168" s="321" t="s">
        <v>312</v>
      </c>
      <c r="E168" s="322">
        <v>-343700</v>
      </c>
      <c r="F168" s="988"/>
    </row>
    <row r="169" spans="1:6" ht="16.5" customHeight="1" thickBot="1">
      <c r="A169" s="333">
        <v>43312</v>
      </c>
      <c r="B169" s="581" t="s">
        <v>679</v>
      </c>
      <c r="C169" s="323" t="s">
        <v>313</v>
      </c>
      <c r="D169" s="323" t="s">
        <v>314</v>
      </c>
      <c r="E169" s="324">
        <v>-346000</v>
      </c>
      <c r="F169" s="989"/>
    </row>
    <row r="170" spans="1:6" ht="16.5" customHeight="1">
      <c r="A170" s="332">
        <v>43363</v>
      </c>
      <c r="B170" s="314" t="s">
        <v>170</v>
      </c>
      <c r="C170" s="990" t="s">
        <v>171</v>
      </c>
      <c r="D170" s="991"/>
      <c r="E170" s="992"/>
      <c r="F170" s="589">
        <v>52000</v>
      </c>
    </row>
    <row r="171" spans="1:6" ht="16.5" customHeight="1">
      <c r="A171" s="332">
        <v>43367</v>
      </c>
      <c r="B171" s="314" t="s">
        <v>20</v>
      </c>
      <c r="C171" s="993" t="s">
        <v>168</v>
      </c>
      <c r="D171" s="994"/>
      <c r="E171" s="995"/>
      <c r="F171" s="589">
        <v>15000</v>
      </c>
    </row>
    <row r="172" spans="1:6" ht="16.5" customHeight="1">
      <c r="A172" s="332">
        <v>43371</v>
      </c>
      <c r="B172" s="314" t="s">
        <v>20</v>
      </c>
      <c r="C172" s="993" t="s">
        <v>169</v>
      </c>
      <c r="D172" s="994"/>
      <c r="E172" s="995"/>
      <c r="F172" s="589">
        <v>45000</v>
      </c>
    </row>
    <row r="173" spans="1:6" ht="16.5" customHeight="1">
      <c r="A173" s="332">
        <v>43504</v>
      </c>
      <c r="B173" s="314" t="s">
        <v>20</v>
      </c>
      <c r="C173" s="580" t="s">
        <v>180</v>
      </c>
      <c r="D173" s="580"/>
      <c r="E173" s="580"/>
      <c r="F173" s="589">
        <v>832500</v>
      </c>
    </row>
    <row r="174" spans="1:6" ht="16.5" customHeight="1">
      <c r="A174" s="332">
        <v>43564</v>
      </c>
      <c r="B174" s="314" t="s">
        <v>20</v>
      </c>
      <c r="C174" s="580" t="s">
        <v>188</v>
      </c>
      <c r="D174" s="580"/>
      <c r="E174" s="580"/>
      <c r="F174" s="589">
        <v>340000</v>
      </c>
    </row>
    <row r="175" spans="1:6" ht="16.5" customHeight="1">
      <c r="A175" s="332">
        <v>43770</v>
      </c>
      <c r="B175" s="314" t="s">
        <v>437</v>
      </c>
      <c r="C175" s="580" t="s">
        <v>481</v>
      </c>
      <c r="D175" s="580" t="s">
        <v>482</v>
      </c>
      <c r="E175" s="580"/>
      <c r="F175" s="589">
        <v>102000</v>
      </c>
    </row>
    <row r="176" spans="1:6" ht="16.5" customHeight="1" thickBot="1">
      <c r="A176" s="332">
        <v>43770</v>
      </c>
      <c r="B176" s="314" t="s">
        <v>437</v>
      </c>
      <c r="C176" s="580" t="s">
        <v>481</v>
      </c>
      <c r="D176" s="580" t="s">
        <v>482</v>
      </c>
      <c r="E176" s="580"/>
      <c r="F176" s="589">
        <v>660700</v>
      </c>
    </row>
    <row r="177" spans="1:6" ht="16.5" customHeight="1" thickBot="1">
      <c r="A177" s="590"/>
      <c r="B177" s="591"/>
      <c r="C177" s="984" t="s">
        <v>13</v>
      </c>
      <c r="D177" s="984"/>
      <c r="E177" s="985"/>
      <c r="F177" s="435">
        <f>SUM(F163:F176)</f>
        <v>2813176</v>
      </c>
    </row>
    <row r="178" spans="1:6" ht="16.5" customHeight="1" thickBot="1">
      <c r="A178" s="431" t="s">
        <v>382</v>
      </c>
      <c r="B178" s="432"/>
      <c r="C178" s="432"/>
      <c r="D178" s="432"/>
      <c r="E178" s="433"/>
      <c r="F178" s="328"/>
    </row>
    <row r="184" spans="1:6" ht="16.5" customHeight="1">
      <c r="A184" s="996" t="s">
        <v>18</v>
      </c>
      <c r="B184" s="996"/>
      <c r="C184" s="996"/>
      <c r="D184" s="996"/>
      <c r="E184" s="996"/>
      <c r="F184" s="996"/>
    </row>
    <row r="185" spans="1:6" ht="16.5" customHeight="1">
      <c r="A185" s="996" t="s">
        <v>19</v>
      </c>
      <c r="B185" s="996"/>
      <c r="C185" s="996"/>
      <c r="D185" s="996"/>
      <c r="E185" s="996"/>
      <c r="F185" s="996"/>
    </row>
    <row r="186" spans="1:6" ht="16.5" customHeight="1">
      <c r="A186" s="996" t="s">
        <v>22</v>
      </c>
      <c r="B186" s="996"/>
      <c r="C186" s="996"/>
      <c r="D186" s="996"/>
      <c r="E186" s="996"/>
      <c r="F186" s="996"/>
    </row>
    <row r="187" spans="1:6" ht="16.5" customHeight="1">
      <c r="A187" s="996" t="s">
        <v>23</v>
      </c>
      <c r="B187" s="996"/>
      <c r="C187" s="996"/>
      <c r="D187" s="996"/>
      <c r="E187" s="996"/>
      <c r="F187" s="996"/>
    </row>
    <row r="188" spans="1:6" ht="16.5" customHeight="1">
      <c r="A188" s="997">
        <v>43862</v>
      </c>
      <c r="B188" s="998"/>
      <c r="C188" s="998"/>
      <c r="D188" s="998"/>
      <c r="E188" s="998"/>
      <c r="F188" s="998"/>
    </row>
    <row r="190" spans="1:6" ht="16.5" customHeight="1">
      <c r="A190" s="304" t="s">
        <v>315</v>
      </c>
      <c r="D190" s="300"/>
      <c r="E190" s="305">
        <v>169137255.91</v>
      </c>
    </row>
    <row r="191" spans="1:6" ht="16.5" customHeight="1">
      <c r="E191" s="302"/>
    </row>
    <row r="192" spans="1:6" ht="16.5" customHeight="1">
      <c r="A192" s="304" t="s">
        <v>316</v>
      </c>
      <c r="D192" s="305">
        <v>168122055.91</v>
      </c>
      <c r="E192" s="302"/>
    </row>
    <row r="193" spans="1:6" ht="16.5" customHeight="1">
      <c r="E193" s="302">
        <f>+E190-D192</f>
        <v>1015200</v>
      </c>
    </row>
    <row r="194" spans="1:6" ht="16.5" customHeight="1">
      <c r="D194"/>
      <c r="E194" s="302"/>
    </row>
    <row r="195" spans="1:6" ht="16.5" customHeight="1">
      <c r="A195" s="301" t="s">
        <v>317</v>
      </c>
      <c r="D195" s="305">
        <f>+E201</f>
        <v>1015200</v>
      </c>
      <c r="E195" s="302"/>
    </row>
    <row r="196" spans="1:6" ht="16.5" customHeight="1" thickBot="1">
      <c r="D196" s="305"/>
      <c r="E196" s="302"/>
    </row>
    <row r="197" spans="1:6" ht="16.5" customHeight="1" thickBot="1">
      <c r="A197" s="460" t="s">
        <v>317</v>
      </c>
      <c r="B197" s="428"/>
      <c r="C197" s="428"/>
      <c r="D197" s="428"/>
      <c r="E197" s="461"/>
    </row>
    <row r="198" spans="1:6" ht="16.5" customHeight="1" thickBot="1">
      <c r="A198" s="458" t="s">
        <v>15</v>
      </c>
      <c r="B198" s="429" t="s">
        <v>381</v>
      </c>
      <c r="C198" s="429" t="s">
        <v>380</v>
      </c>
      <c r="D198" s="429" t="s">
        <v>378</v>
      </c>
      <c r="E198" s="459" t="s">
        <v>16</v>
      </c>
    </row>
    <row r="199" spans="1:6" ht="16.5" customHeight="1">
      <c r="A199" s="582" t="s">
        <v>680</v>
      </c>
      <c r="C199" s="300">
        <v>4513</v>
      </c>
      <c r="D199" s="472" t="s">
        <v>681</v>
      </c>
      <c r="E199" s="473">
        <v>1015200</v>
      </c>
    </row>
    <row r="200" spans="1:6" ht="16.5" customHeight="1" thickBot="1">
      <c r="A200" s="462"/>
      <c r="B200" s="434"/>
      <c r="C200" s="434"/>
      <c r="D200" s="457"/>
      <c r="E200" s="463"/>
    </row>
    <row r="201" spans="1:6" ht="16.5" customHeight="1" thickBot="1">
      <c r="A201" s="464" t="s">
        <v>379</v>
      </c>
      <c r="B201" s="430"/>
      <c r="C201" s="430"/>
      <c r="D201" s="430"/>
      <c r="E201" s="475">
        <f>SUM(E199:E200)</f>
        <v>1015200</v>
      </c>
      <c r="F201" s="308"/>
    </row>
    <row r="202" spans="1:6" ht="16.5" customHeight="1">
      <c r="A202" s="306"/>
      <c r="B202" s="309"/>
      <c r="C202" s="309"/>
      <c r="E202" s="305"/>
      <c r="F202" s="307"/>
    </row>
    <row r="203" spans="1:6" ht="16.5" customHeight="1">
      <c r="A203" s="335" t="s">
        <v>318</v>
      </c>
      <c r="B203" s="336"/>
      <c r="C203" s="336"/>
      <c r="D203" s="474">
        <f>+D192+D195</f>
        <v>169137255.91</v>
      </c>
      <c r="E203" s="474">
        <f>+E190</f>
        <v>169137255.91</v>
      </c>
      <c r="F203" s="310"/>
    </row>
    <row r="204" spans="1:6" ht="16.5" customHeight="1">
      <c r="A204" s="312"/>
      <c r="B204" s="307"/>
      <c r="C204" s="307"/>
      <c r="D204" s="305"/>
      <c r="E204" s="303">
        <f>+D203-E203</f>
        <v>0</v>
      </c>
    </row>
    <row r="205" spans="1:6" ht="16.5" customHeight="1">
      <c r="A205" s="373" t="s">
        <v>24</v>
      </c>
      <c r="B205" s="374"/>
      <c r="C205" s="374"/>
      <c r="D205" s="375"/>
      <c r="E205" s="376"/>
      <c r="F205" s="377"/>
    </row>
    <row r="206" spans="1:6" ht="16.5" customHeight="1" thickBot="1">
      <c r="A206" s="378">
        <f>+A188</f>
        <v>43862</v>
      </c>
      <c r="B206" s="379"/>
      <c r="C206" s="379"/>
      <c r="D206" s="380"/>
      <c r="E206" s="381"/>
      <c r="F206" s="382"/>
    </row>
    <row r="207" spans="1:6" ht="16.5" customHeight="1">
      <c r="A207" s="583" t="s">
        <v>15</v>
      </c>
      <c r="B207" s="584" t="s">
        <v>10</v>
      </c>
      <c r="C207" s="986" t="s">
        <v>21</v>
      </c>
      <c r="D207" s="986"/>
      <c r="E207" s="986"/>
      <c r="F207" s="585" t="s">
        <v>16</v>
      </c>
    </row>
    <row r="208" spans="1:6" ht="16.5" customHeight="1">
      <c r="A208" s="586">
        <v>43129</v>
      </c>
      <c r="B208" s="314" t="s">
        <v>20</v>
      </c>
      <c r="C208" s="580" t="s">
        <v>146</v>
      </c>
      <c r="D208" s="580"/>
      <c r="E208" s="580"/>
      <c r="F208" s="587">
        <f>492776-200000</f>
        <v>292776</v>
      </c>
    </row>
    <row r="209" spans="1:6" ht="16.5" customHeight="1">
      <c r="A209" s="586">
        <v>43211</v>
      </c>
      <c r="B209" s="314" t="s">
        <v>153</v>
      </c>
      <c r="C209" s="580" t="s">
        <v>154</v>
      </c>
      <c r="D209" s="316"/>
      <c r="E209" s="316"/>
      <c r="F209" s="587">
        <v>10000</v>
      </c>
    </row>
    <row r="210" spans="1:6" ht="16.5" customHeight="1" thickBot="1">
      <c r="A210" s="586">
        <v>43225</v>
      </c>
      <c r="B210" s="314" t="s">
        <v>20</v>
      </c>
      <c r="C210" s="580" t="s">
        <v>158</v>
      </c>
      <c r="D210" s="316"/>
      <c r="E210" s="316"/>
      <c r="F210" s="588">
        <v>276700</v>
      </c>
    </row>
    <row r="211" spans="1:6" ht="16.5" customHeight="1">
      <c r="A211" s="331">
        <v>43311</v>
      </c>
      <c r="B211" s="318" t="s">
        <v>20</v>
      </c>
      <c r="C211" s="319" t="s">
        <v>163</v>
      </c>
      <c r="D211" s="319"/>
      <c r="E211" s="320">
        <v>1076000</v>
      </c>
      <c r="F211" s="987">
        <f>1076000+E212+E213+E214</f>
        <v>186500</v>
      </c>
    </row>
    <row r="212" spans="1:6" ht="16.5" customHeight="1">
      <c r="A212" s="332">
        <v>43312</v>
      </c>
      <c r="B212" s="581" t="s">
        <v>678</v>
      </c>
      <c r="C212" s="321" t="s">
        <v>308</v>
      </c>
      <c r="D212" s="321" t="s">
        <v>309</v>
      </c>
      <c r="E212" s="322">
        <v>-199800</v>
      </c>
      <c r="F212" s="988"/>
    </row>
    <row r="213" spans="1:6" ht="16.5" customHeight="1">
      <c r="A213" s="332">
        <v>43312</v>
      </c>
      <c r="B213" s="581" t="s">
        <v>679</v>
      </c>
      <c r="C213" s="321" t="s">
        <v>311</v>
      </c>
      <c r="D213" s="321" t="s">
        <v>312</v>
      </c>
      <c r="E213" s="322">
        <v>-343700</v>
      </c>
      <c r="F213" s="988"/>
    </row>
    <row r="214" spans="1:6" ht="16.5" customHeight="1" thickBot="1">
      <c r="A214" s="333">
        <v>43312</v>
      </c>
      <c r="B214" s="581" t="s">
        <v>679</v>
      </c>
      <c r="C214" s="323" t="s">
        <v>313</v>
      </c>
      <c r="D214" s="323" t="s">
        <v>314</v>
      </c>
      <c r="E214" s="324">
        <v>-346000</v>
      </c>
      <c r="F214" s="989"/>
    </row>
    <row r="215" spans="1:6" ht="16.5" customHeight="1">
      <c r="A215" s="332">
        <v>43363</v>
      </c>
      <c r="B215" s="314" t="s">
        <v>170</v>
      </c>
      <c r="C215" s="990" t="s">
        <v>171</v>
      </c>
      <c r="D215" s="991"/>
      <c r="E215" s="992"/>
      <c r="F215" s="589">
        <v>52000</v>
      </c>
    </row>
    <row r="216" spans="1:6" ht="16.5" customHeight="1">
      <c r="A216" s="332">
        <v>43367</v>
      </c>
      <c r="B216" s="314" t="s">
        <v>20</v>
      </c>
      <c r="C216" s="993" t="s">
        <v>168</v>
      </c>
      <c r="D216" s="994"/>
      <c r="E216" s="995"/>
      <c r="F216" s="589">
        <v>15000</v>
      </c>
    </row>
    <row r="217" spans="1:6" ht="16.5" customHeight="1">
      <c r="A217" s="332">
        <v>43371</v>
      </c>
      <c r="B217" s="314" t="s">
        <v>20</v>
      </c>
      <c r="C217" s="993" t="s">
        <v>169</v>
      </c>
      <c r="D217" s="994"/>
      <c r="E217" s="995"/>
      <c r="F217" s="589">
        <v>45000</v>
      </c>
    </row>
    <row r="218" spans="1:6" ht="16.5" customHeight="1">
      <c r="A218" s="332">
        <v>43504</v>
      </c>
      <c r="B218" s="314" t="s">
        <v>20</v>
      </c>
      <c r="C218" s="580" t="s">
        <v>180</v>
      </c>
      <c r="D218" s="580"/>
      <c r="E218" s="580"/>
      <c r="F218" s="589">
        <v>832500</v>
      </c>
    </row>
    <row r="219" spans="1:6" ht="16.5" customHeight="1">
      <c r="A219" s="332">
        <v>43564</v>
      </c>
      <c r="B219" s="314" t="s">
        <v>20</v>
      </c>
      <c r="C219" s="580" t="s">
        <v>188</v>
      </c>
      <c r="D219" s="580"/>
      <c r="E219" s="580"/>
      <c r="F219" s="589">
        <v>340000</v>
      </c>
    </row>
    <row r="220" spans="1:6" ht="16.5" customHeight="1">
      <c r="A220" s="332">
        <v>43770</v>
      </c>
      <c r="B220" s="314" t="s">
        <v>437</v>
      </c>
      <c r="C220" s="580" t="s">
        <v>481</v>
      </c>
      <c r="D220" s="580" t="s">
        <v>482</v>
      </c>
      <c r="E220" s="580"/>
      <c r="F220" s="589">
        <v>102000</v>
      </c>
    </row>
    <row r="221" spans="1:6" ht="16.5" customHeight="1" thickBot="1">
      <c r="A221" s="332">
        <v>43770</v>
      </c>
      <c r="B221" s="314" t="s">
        <v>437</v>
      </c>
      <c r="C221" s="580" t="s">
        <v>481</v>
      </c>
      <c r="D221" s="580" t="s">
        <v>482</v>
      </c>
      <c r="E221" s="580"/>
      <c r="F221" s="589">
        <v>660700</v>
      </c>
    </row>
    <row r="222" spans="1:6" ht="16.5" customHeight="1" thickBot="1">
      <c r="A222" s="590"/>
      <c r="B222" s="591"/>
      <c r="C222" s="984" t="s">
        <v>13</v>
      </c>
      <c r="D222" s="984"/>
      <c r="E222" s="985"/>
      <c r="F222" s="435">
        <f>SUM(F208:F221)</f>
        <v>2813176</v>
      </c>
    </row>
    <row r="223" spans="1:6" ht="16.5" customHeight="1" thickBot="1">
      <c r="A223" s="431" t="s">
        <v>382</v>
      </c>
      <c r="B223" s="432"/>
      <c r="C223" s="432"/>
      <c r="D223" s="432"/>
      <c r="E223" s="433"/>
      <c r="F223" s="328"/>
    </row>
    <row r="225" spans="1:7" ht="16.5" customHeight="1">
      <c r="A225" s="996" t="s">
        <v>18</v>
      </c>
      <c r="B225" s="996"/>
      <c r="C225" s="996"/>
      <c r="D225" s="996"/>
      <c r="E225" s="996"/>
      <c r="F225" s="996"/>
    </row>
    <row r="226" spans="1:7" ht="16.5" customHeight="1">
      <c r="A226" s="996" t="s">
        <v>19</v>
      </c>
      <c r="B226" s="996"/>
      <c r="C226" s="996"/>
      <c r="D226" s="996"/>
      <c r="E226" s="996"/>
      <c r="F226" s="996"/>
    </row>
    <row r="227" spans="1:7" ht="16.5" customHeight="1">
      <c r="A227" s="996" t="s">
        <v>22</v>
      </c>
      <c r="B227" s="996"/>
      <c r="C227" s="996"/>
      <c r="D227" s="996"/>
      <c r="E227" s="996"/>
      <c r="F227" s="996"/>
    </row>
    <row r="228" spans="1:7" ht="16.5" customHeight="1">
      <c r="A228" s="996" t="s">
        <v>23</v>
      </c>
      <c r="B228" s="996"/>
      <c r="C228" s="996"/>
      <c r="D228" s="996"/>
      <c r="E228" s="996"/>
      <c r="F228" s="996"/>
    </row>
    <row r="229" spans="1:7" ht="16.5" customHeight="1">
      <c r="A229" s="998" t="s">
        <v>677</v>
      </c>
      <c r="B229" s="998"/>
      <c r="C229" s="998"/>
      <c r="D229" s="998"/>
      <c r="E229" s="998"/>
      <c r="F229" s="998"/>
    </row>
    <row r="231" spans="1:7" ht="16.5" customHeight="1">
      <c r="A231" s="304" t="s">
        <v>315</v>
      </c>
      <c r="D231" s="300"/>
      <c r="E231" s="305">
        <v>141065451.91</v>
      </c>
    </row>
    <row r="232" spans="1:7" ht="16.5" customHeight="1">
      <c r="E232" s="302"/>
    </row>
    <row r="233" spans="1:7" ht="16.5" customHeight="1">
      <c r="A233" s="304" t="s">
        <v>316</v>
      </c>
      <c r="D233" s="305">
        <v>141065451.91</v>
      </c>
      <c r="E233" s="302"/>
    </row>
    <row r="234" spans="1:7" ht="16.5" customHeight="1">
      <c r="E234" s="302"/>
    </row>
    <row r="235" spans="1:7" ht="16.5" customHeight="1">
      <c r="D235"/>
      <c r="E235" s="302"/>
    </row>
    <row r="236" spans="1:7" ht="16.5" customHeight="1">
      <c r="A236" s="301" t="s">
        <v>317</v>
      </c>
      <c r="D236" s="305">
        <f>+E242</f>
        <v>0</v>
      </c>
      <c r="E236" s="302"/>
    </row>
    <row r="237" spans="1:7" ht="16.5" customHeight="1" thickBot="1">
      <c r="D237" s="305"/>
      <c r="E237" s="302"/>
      <c r="G237" s="311"/>
    </row>
    <row r="238" spans="1:7" ht="16.5" customHeight="1" thickBot="1">
      <c r="A238" s="460" t="s">
        <v>317</v>
      </c>
      <c r="B238" s="428"/>
      <c r="C238" s="428"/>
      <c r="D238" s="428"/>
      <c r="E238" s="461"/>
      <c r="G238" s="311"/>
    </row>
    <row r="239" spans="1:7" ht="16.5" customHeight="1" thickBot="1">
      <c r="A239" s="458" t="s">
        <v>15</v>
      </c>
      <c r="B239" s="429" t="s">
        <v>381</v>
      </c>
      <c r="C239" s="429" t="s">
        <v>380</v>
      </c>
      <c r="D239" s="429" t="s">
        <v>378</v>
      </c>
      <c r="E239" s="459" t="s">
        <v>16</v>
      </c>
    </row>
    <row r="240" spans="1:7" ht="16.5" customHeight="1">
      <c r="A240" s="476"/>
      <c r="D240" s="472"/>
      <c r="E240" s="473"/>
    </row>
    <row r="241" spans="1:6" ht="16.5" customHeight="1" thickBot="1">
      <c r="A241" s="462"/>
      <c r="B241" s="434"/>
      <c r="C241" s="434"/>
      <c r="D241" s="457"/>
      <c r="E241" s="463"/>
    </row>
    <row r="242" spans="1:6" ht="16.5" customHeight="1" thickBot="1">
      <c r="A242" s="464" t="s">
        <v>379</v>
      </c>
      <c r="B242" s="430"/>
      <c r="C242" s="430"/>
      <c r="D242" s="430"/>
      <c r="E242" s="475">
        <f>SUM(E240:E241)</f>
        <v>0</v>
      </c>
      <c r="F242" s="308"/>
    </row>
    <row r="243" spans="1:6" ht="16.5" customHeight="1">
      <c r="A243" s="306"/>
      <c r="B243" s="309"/>
      <c r="C243" s="309"/>
      <c r="E243" s="305"/>
      <c r="F243" s="307"/>
    </row>
    <row r="244" spans="1:6" ht="16.5" customHeight="1">
      <c r="A244" s="335" t="s">
        <v>318</v>
      </c>
      <c r="B244" s="336"/>
      <c r="C244" s="336"/>
      <c r="D244" s="474">
        <f>+D233+D236</f>
        <v>141065451.91</v>
      </c>
      <c r="E244" s="474">
        <f>+E231</f>
        <v>141065451.91</v>
      </c>
      <c r="F244" s="310"/>
    </row>
    <row r="245" spans="1:6" ht="16.5" customHeight="1">
      <c r="A245" s="312"/>
      <c r="B245" s="307"/>
      <c r="C245" s="307"/>
      <c r="D245" s="305"/>
      <c r="E245" s="303">
        <f>+D244-E244</f>
        <v>0</v>
      </c>
    </row>
    <row r="246" spans="1:6" ht="16.5" customHeight="1">
      <c r="A246" s="373" t="s">
        <v>24</v>
      </c>
      <c r="B246" s="374"/>
      <c r="C246" s="374"/>
      <c r="D246" s="375"/>
      <c r="E246" s="376"/>
      <c r="F246" s="377"/>
    </row>
    <row r="247" spans="1:6" ht="16.5" customHeight="1">
      <c r="A247" s="378" t="str">
        <f>+A229</f>
        <v>AL 31 ENERO/20</v>
      </c>
      <c r="B247" s="379"/>
      <c r="C247" s="379"/>
      <c r="D247" s="380"/>
      <c r="E247" s="381"/>
      <c r="F247" s="382"/>
    </row>
    <row r="248" spans="1:6" ht="16.5" customHeight="1">
      <c r="A248" s="329" t="s">
        <v>15</v>
      </c>
      <c r="B248" s="313" t="s">
        <v>10</v>
      </c>
      <c r="C248" s="1001" t="s">
        <v>21</v>
      </c>
      <c r="D248" s="1001"/>
      <c r="E248" s="1001"/>
      <c r="F248" s="478" t="s">
        <v>16</v>
      </c>
    </row>
    <row r="249" spans="1:6" ht="16.5" customHeight="1">
      <c r="A249" s="330">
        <v>43129</v>
      </c>
      <c r="B249" s="314" t="s">
        <v>20</v>
      </c>
      <c r="C249" s="477" t="s">
        <v>146</v>
      </c>
      <c r="D249" s="477"/>
      <c r="E249" s="477"/>
      <c r="F249" s="315">
        <f>492776-200000</f>
        <v>292776</v>
      </c>
    </row>
    <row r="250" spans="1:6" ht="16.5" customHeight="1">
      <c r="A250" s="330">
        <v>43211</v>
      </c>
      <c r="B250" s="314" t="s">
        <v>153</v>
      </c>
      <c r="C250" s="477" t="s">
        <v>154</v>
      </c>
      <c r="D250" s="316"/>
      <c r="E250" s="316"/>
      <c r="F250" s="315">
        <v>10000</v>
      </c>
    </row>
    <row r="251" spans="1:6" ht="16.5" customHeight="1" thickBot="1">
      <c r="A251" s="330">
        <v>43225</v>
      </c>
      <c r="B251" s="314" t="s">
        <v>20</v>
      </c>
      <c r="C251" s="477" t="s">
        <v>158</v>
      </c>
      <c r="D251" s="316"/>
      <c r="E251" s="316"/>
      <c r="F251" s="317">
        <v>276700</v>
      </c>
    </row>
    <row r="252" spans="1:6" ht="16.5" customHeight="1">
      <c r="A252" s="331">
        <v>43311</v>
      </c>
      <c r="B252" s="318" t="s">
        <v>20</v>
      </c>
      <c r="C252" s="319" t="s">
        <v>163</v>
      </c>
      <c r="D252" s="319"/>
      <c r="E252" s="320">
        <v>1076000</v>
      </c>
      <c r="F252" s="987">
        <f>1076000+E253+E254+E255</f>
        <v>186500</v>
      </c>
    </row>
    <row r="253" spans="1:6" ht="16.5" customHeight="1">
      <c r="A253" s="332">
        <v>43312</v>
      </c>
      <c r="B253" s="321" t="s">
        <v>307</v>
      </c>
      <c r="C253" s="321" t="s">
        <v>308</v>
      </c>
      <c r="D253" s="321" t="s">
        <v>309</v>
      </c>
      <c r="E253" s="322">
        <v>-199800</v>
      </c>
      <c r="F253" s="988"/>
    </row>
    <row r="254" spans="1:6" ht="16.5" customHeight="1">
      <c r="A254" s="332">
        <v>43312</v>
      </c>
      <c r="B254" s="321" t="s">
        <v>310</v>
      </c>
      <c r="C254" s="321" t="s">
        <v>311</v>
      </c>
      <c r="D254" s="321" t="s">
        <v>312</v>
      </c>
      <c r="E254" s="322">
        <v>-343700</v>
      </c>
      <c r="F254" s="988"/>
    </row>
    <row r="255" spans="1:6" ht="16.5" customHeight="1" thickBot="1">
      <c r="A255" s="333">
        <v>43312</v>
      </c>
      <c r="B255" s="323" t="s">
        <v>310</v>
      </c>
      <c r="C255" s="323" t="s">
        <v>313</v>
      </c>
      <c r="D255" s="323" t="s">
        <v>314</v>
      </c>
      <c r="E255" s="324">
        <v>-346000</v>
      </c>
      <c r="F255" s="989"/>
    </row>
    <row r="256" spans="1:6" ht="16.5" customHeight="1">
      <c r="A256" s="334">
        <v>43363</v>
      </c>
      <c r="B256" s="314" t="s">
        <v>170</v>
      </c>
      <c r="C256" s="990" t="s">
        <v>171</v>
      </c>
      <c r="D256" s="991"/>
      <c r="E256" s="992"/>
      <c r="F256" s="325">
        <v>52000</v>
      </c>
    </row>
    <row r="257" spans="1:7" ht="16.5" customHeight="1">
      <c r="A257" s="334">
        <v>43367</v>
      </c>
      <c r="B257" s="314" t="s">
        <v>20</v>
      </c>
      <c r="C257" s="993" t="s">
        <v>168</v>
      </c>
      <c r="D257" s="994"/>
      <c r="E257" s="995"/>
      <c r="F257" s="325">
        <v>15000</v>
      </c>
    </row>
    <row r="258" spans="1:7" ht="16.5" customHeight="1">
      <c r="A258" s="334">
        <v>43371</v>
      </c>
      <c r="B258" s="314" t="s">
        <v>20</v>
      </c>
      <c r="C258" s="993" t="s">
        <v>169</v>
      </c>
      <c r="D258" s="994"/>
      <c r="E258" s="995"/>
      <c r="F258" s="325">
        <v>45000</v>
      </c>
    </row>
    <row r="259" spans="1:7" ht="16.5" customHeight="1">
      <c r="A259" s="334">
        <v>43504</v>
      </c>
      <c r="B259" s="314" t="s">
        <v>20</v>
      </c>
      <c r="C259" s="477" t="s">
        <v>180</v>
      </c>
      <c r="D259" s="477"/>
      <c r="E259" s="477"/>
      <c r="F259" s="325">
        <v>832500</v>
      </c>
    </row>
    <row r="260" spans="1:7" ht="16.5" customHeight="1">
      <c r="A260" s="334">
        <v>43564</v>
      </c>
      <c r="B260" s="314" t="s">
        <v>20</v>
      </c>
      <c r="C260" s="477" t="s">
        <v>188</v>
      </c>
      <c r="D260" s="477"/>
      <c r="E260" s="477"/>
      <c r="F260" s="325">
        <v>340000</v>
      </c>
    </row>
    <row r="261" spans="1:7" ht="16.5" customHeight="1">
      <c r="A261" s="334">
        <v>43770</v>
      </c>
      <c r="B261" s="314" t="s">
        <v>437</v>
      </c>
      <c r="C261" s="480" t="s">
        <v>481</v>
      </c>
      <c r="D261" s="480" t="s">
        <v>482</v>
      </c>
      <c r="E261" s="480"/>
      <c r="F261" s="325">
        <v>102000</v>
      </c>
      <c r="G261" s="465"/>
    </row>
    <row r="262" spans="1:7" ht="16.5" customHeight="1" thickBot="1">
      <c r="A262" s="334">
        <v>43770</v>
      </c>
      <c r="B262" s="314" t="s">
        <v>437</v>
      </c>
      <c r="C262" s="480" t="s">
        <v>481</v>
      </c>
      <c r="D262" s="480" t="s">
        <v>482</v>
      </c>
      <c r="E262" s="480"/>
      <c r="F262" s="325">
        <v>660700</v>
      </c>
    </row>
    <row r="263" spans="1:7" ht="16.5" customHeight="1" thickBot="1">
      <c r="A263" s="326"/>
      <c r="B263" s="327"/>
      <c r="C263" s="999" t="s">
        <v>13</v>
      </c>
      <c r="D263" s="999"/>
      <c r="E263" s="1000"/>
      <c r="F263" s="435">
        <f>SUM(F249:F262)</f>
        <v>2813176</v>
      </c>
    </row>
    <row r="264" spans="1:7" ht="16.5" customHeight="1" thickBot="1">
      <c r="A264" s="431" t="s">
        <v>382</v>
      </c>
      <c r="B264" s="432"/>
      <c r="C264" s="432"/>
      <c r="D264" s="432"/>
      <c r="E264" s="433"/>
      <c r="F264" s="328"/>
    </row>
  </sheetData>
  <mergeCells count="66">
    <mergeCell ref="C133:E133"/>
    <mergeCell ref="C118:E118"/>
    <mergeCell ref="F122:F125"/>
    <mergeCell ref="C126:E126"/>
    <mergeCell ref="C127:E127"/>
    <mergeCell ref="C128:E128"/>
    <mergeCell ref="A95:F95"/>
    <mergeCell ref="A96:F96"/>
    <mergeCell ref="A97:F97"/>
    <mergeCell ref="A98:F98"/>
    <mergeCell ref="A99:F99"/>
    <mergeCell ref="C222:E222"/>
    <mergeCell ref="C207:E207"/>
    <mergeCell ref="F211:F214"/>
    <mergeCell ref="C215:E215"/>
    <mergeCell ref="C216:E216"/>
    <mergeCell ref="C217:E217"/>
    <mergeCell ref="A184:F184"/>
    <mergeCell ref="A185:F185"/>
    <mergeCell ref="A186:F186"/>
    <mergeCell ref="A187:F187"/>
    <mergeCell ref="A188:F188"/>
    <mergeCell ref="C248:E248"/>
    <mergeCell ref="A225:F225"/>
    <mergeCell ref="A226:F226"/>
    <mergeCell ref="A227:F227"/>
    <mergeCell ref="A228:F228"/>
    <mergeCell ref="A229:F229"/>
    <mergeCell ref="C257:E257"/>
    <mergeCell ref="C258:E258"/>
    <mergeCell ref="C263:E263"/>
    <mergeCell ref="F252:F255"/>
    <mergeCell ref="C256:E256"/>
    <mergeCell ref="A139:F139"/>
    <mergeCell ref="A140:F140"/>
    <mergeCell ref="A141:F141"/>
    <mergeCell ref="A142:F142"/>
    <mergeCell ref="A143:F143"/>
    <mergeCell ref="C177:E177"/>
    <mergeCell ref="C162:E162"/>
    <mergeCell ref="F166:F169"/>
    <mergeCell ref="C170:E170"/>
    <mergeCell ref="C171:E171"/>
    <mergeCell ref="C172:E172"/>
    <mergeCell ref="A44:F44"/>
    <mergeCell ref="A45:F45"/>
    <mergeCell ref="A46:F46"/>
    <mergeCell ref="A47:F47"/>
    <mergeCell ref="A48:F48"/>
    <mergeCell ref="C89:E89"/>
    <mergeCell ref="C67:E67"/>
    <mergeCell ref="F71:F74"/>
    <mergeCell ref="C75:E75"/>
    <mergeCell ref="C76:E76"/>
    <mergeCell ref="C77:E77"/>
    <mergeCell ref="A1:F1"/>
    <mergeCell ref="A2:F2"/>
    <mergeCell ref="A3:F3"/>
    <mergeCell ref="A4:F4"/>
    <mergeCell ref="A5:F5"/>
    <mergeCell ref="C39:E39"/>
    <mergeCell ref="C19:E19"/>
    <mergeCell ref="F23:F26"/>
    <mergeCell ref="C27:E27"/>
    <mergeCell ref="C28:E28"/>
    <mergeCell ref="C29:E29"/>
  </mergeCells>
  <printOptions horizontalCentered="1" verticalCentered="1"/>
  <pageMargins left="0.43307086614173229" right="0.43307086614173229" top="0.55118110236220474" bottom="0.55118110236220474" header="0.31496062992125984" footer="0.31496062992125984"/>
  <pageSetup scale="81" orientation="portrait" horizontalDpi="120" verticalDpi="144"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10"/>
  <sheetViews>
    <sheetView tabSelected="1" zoomScale="90" zoomScaleNormal="90" workbookViewId="0">
      <pane xSplit="3" ySplit="5" topLeftCell="D66" activePane="bottomRight" state="frozen"/>
      <selection pane="topRight" activeCell="D1" sqref="D1"/>
      <selection pane="bottomLeft" activeCell="A6" sqref="A6"/>
      <selection pane="bottomRight" activeCell="Q74" sqref="Q74"/>
    </sheetView>
  </sheetViews>
  <sheetFormatPr baseColWidth="10" defaultRowHeight="12.75" outlineLevelCol="1"/>
  <cols>
    <col min="1" max="1" width="42" style="26" customWidth="1"/>
    <col min="2" max="9" width="18" style="26" customWidth="1" outlineLevel="1"/>
    <col min="10" max="15" width="18" style="26" hidden="1" customWidth="1" outlineLevel="1"/>
    <col min="16" max="16" width="18" style="26" customWidth="1" outlineLevel="1"/>
    <col min="17" max="17" width="7.28515625" style="351" customWidth="1" outlineLevel="1"/>
    <col min="18" max="18" width="18" style="26" hidden="1" customWidth="1" outlineLevel="1"/>
    <col min="19" max="19" width="7.140625" style="354" hidden="1" customWidth="1" outlineLevel="1"/>
    <col min="20" max="21" width="18" style="26" hidden="1" customWidth="1" outlineLevel="1"/>
    <col min="22" max="22" width="7.140625" style="354" hidden="1" customWidth="1" outlineLevel="1"/>
    <col min="23" max="23" width="5.7109375" hidden="1" customWidth="1"/>
    <col min="24" max="24" width="70.5703125" customWidth="1"/>
    <col min="25" max="25" width="12.140625" bestFit="1" customWidth="1"/>
    <col min="26" max="26" width="70.5703125" customWidth="1"/>
    <col min="27" max="27" width="28.28515625" customWidth="1"/>
    <col min="28" max="30" width="42.140625" style="624" customWidth="1"/>
    <col min="31" max="31" width="12.28515625" bestFit="1" customWidth="1"/>
    <col min="32" max="33" width="11.28515625" bestFit="1" customWidth="1"/>
    <col min="34" max="34" width="7.5703125" bestFit="1" customWidth="1"/>
    <col min="35" max="35" width="6.28515625" bestFit="1" customWidth="1"/>
    <col min="36" max="36" width="6.5703125" bestFit="1" customWidth="1"/>
    <col min="37" max="37" width="6.28515625" bestFit="1" customWidth="1"/>
    <col min="38" max="38" width="6" bestFit="1" customWidth="1"/>
    <col min="39" max="39" width="8.85546875" bestFit="1" customWidth="1"/>
    <col min="40" max="40" width="13" bestFit="1" customWidth="1"/>
    <col min="41" max="41" width="9.85546875" bestFit="1" customWidth="1"/>
    <col min="42" max="42" width="12.140625" bestFit="1" customWidth="1"/>
    <col min="43" max="43" width="11.140625" bestFit="1" customWidth="1"/>
    <col min="44" max="232" width="9.140625" customWidth="1"/>
  </cols>
  <sheetData>
    <row r="1" spans="1:43">
      <c r="A1" s="95" t="s">
        <v>18</v>
      </c>
      <c r="B1" s="91"/>
      <c r="C1" s="91"/>
      <c r="D1" s="91" t="s">
        <v>164</v>
      </c>
      <c r="E1" s="91" t="s">
        <v>164</v>
      </c>
      <c r="F1" s="91" t="s">
        <v>164</v>
      </c>
      <c r="G1" s="91" t="s">
        <v>164</v>
      </c>
      <c r="H1" s="91" t="s">
        <v>164</v>
      </c>
      <c r="I1" s="91"/>
      <c r="J1" s="91"/>
      <c r="K1" s="91"/>
      <c r="L1" s="91"/>
      <c r="M1" s="91"/>
      <c r="N1" s="91"/>
      <c r="O1" s="91"/>
      <c r="P1" s="91"/>
      <c r="Q1" s="349"/>
      <c r="R1" s="24"/>
      <c r="S1" s="352"/>
      <c r="T1" s="24"/>
      <c r="U1" s="24"/>
      <c r="V1" s="352"/>
      <c r="W1" s="24"/>
      <c r="X1" s="24"/>
      <c r="Y1" s="24"/>
      <c r="Z1" s="24"/>
      <c r="AA1" s="24"/>
      <c r="AB1" s="106"/>
    </row>
    <row r="2" spans="1:43">
      <c r="A2" s="95" t="s">
        <v>97</v>
      </c>
      <c r="B2" s="91"/>
      <c r="C2" s="91"/>
      <c r="D2" s="91"/>
      <c r="E2" s="91"/>
      <c r="F2" s="91"/>
      <c r="G2" s="91"/>
      <c r="H2" s="91"/>
      <c r="I2" s="91"/>
      <c r="J2" s="91"/>
      <c r="K2" s="91"/>
      <c r="L2" s="91"/>
      <c r="M2" s="91"/>
      <c r="N2" s="91"/>
      <c r="O2" s="91"/>
      <c r="P2" s="91"/>
      <c r="Q2" s="349"/>
      <c r="R2" s="24"/>
      <c r="S2" s="352"/>
      <c r="T2" s="24"/>
      <c r="U2" s="24"/>
      <c r="V2" s="352"/>
      <c r="AB2" s="106"/>
    </row>
    <row r="3" spans="1:43" ht="13.5" thickBot="1">
      <c r="A3" s="824" t="s">
        <v>539</v>
      </c>
      <c r="B3" s="91"/>
      <c r="C3" s="91"/>
      <c r="D3" s="91"/>
      <c r="E3" s="91"/>
      <c r="F3" s="91"/>
      <c r="G3" s="91"/>
      <c r="H3" s="91"/>
      <c r="I3" s="91"/>
      <c r="J3" s="91"/>
      <c r="K3" s="91"/>
      <c r="L3" s="91"/>
      <c r="M3" s="91"/>
      <c r="N3" s="91"/>
      <c r="O3" s="91"/>
      <c r="P3" s="91"/>
      <c r="Q3" s="349"/>
      <c r="R3" s="49"/>
      <c r="S3" s="352"/>
      <c r="T3" s="632">
        <v>3</v>
      </c>
      <c r="U3" s="24"/>
      <c r="V3" s="352"/>
      <c r="AB3" s="106"/>
    </row>
    <row r="4" spans="1:43" ht="15.75">
      <c r="A4" s="858" t="s">
        <v>98</v>
      </c>
      <c r="B4" s="595" t="s">
        <v>333</v>
      </c>
      <c r="C4" s="595" t="s">
        <v>333</v>
      </c>
      <c r="D4" s="595" t="s">
        <v>100</v>
      </c>
      <c r="E4" s="595" t="s">
        <v>100</v>
      </c>
      <c r="F4" s="595" t="s">
        <v>100</v>
      </c>
      <c r="G4" s="595" t="s">
        <v>100</v>
      </c>
      <c r="H4" s="595" t="s">
        <v>100</v>
      </c>
      <c r="I4" s="595" t="s">
        <v>100</v>
      </c>
      <c r="J4" s="595" t="s">
        <v>100</v>
      </c>
      <c r="K4" s="595" t="s">
        <v>100</v>
      </c>
      <c r="L4" s="595" t="s">
        <v>100</v>
      </c>
      <c r="M4" s="595" t="s">
        <v>100</v>
      </c>
      <c r="N4" s="595" t="s">
        <v>100</v>
      </c>
      <c r="O4" s="595" t="s">
        <v>100</v>
      </c>
      <c r="P4" s="595" t="s">
        <v>326</v>
      </c>
      <c r="Q4" s="596" t="s">
        <v>327</v>
      </c>
      <c r="R4" s="597" t="s">
        <v>329</v>
      </c>
      <c r="S4" s="394" t="s">
        <v>331</v>
      </c>
      <c r="T4" s="399" t="s">
        <v>333</v>
      </c>
      <c r="U4" s="400" t="s">
        <v>100</v>
      </c>
      <c r="V4" s="401" t="s">
        <v>17</v>
      </c>
      <c r="Y4" s="106"/>
      <c r="AB4" s="106"/>
      <c r="AC4" s="106"/>
      <c r="AD4" s="625">
        <f>+G6+G7+G8</f>
        <v>86473950</v>
      </c>
    </row>
    <row r="5" spans="1:43" ht="15.75">
      <c r="A5" s="858"/>
      <c r="B5" s="598" t="s">
        <v>740</v>
      </c>
      <c r="C5" s="598" t="s">
        <v>741</v>
      </c>
      <c r="D5" s="598" t="s">
        <v>540</v>
      </c>
      <c r="E5" s="598" t="s">
        <v>541</v>
      </c>
      <c r="F5" s="598" t="s">
        <v>542</v>
      </c>
      <c r="G5" s="598" t="s">
        <v>543</v>
      </c>
      <c r="H5" s="598" t="s">
        <v>544</v>
      </c>
      <c r="I5" s="598" t="s">
        <v>319</v>
      </c>
      <c r="J5" s="598" t="s">
        <v>320</v>
      </c>
      <c r="K5" s="598" t="s">
        <v>321</v>
      </c>
      <c r="L5" s="598" t="s">
        <v>322</v>
      </c>
      <c r="M5" s="598" t="s">
        <v>323</v>
      </c>
      <c r="N5" s="598" t="s">
        <v>324</v>
      </c>
      <c r="O5" s="598" t="s">
        <v>325</v>
      </c>
      <c r="P5" s="598" t="s">
        <v>1071</v>
      </c>
      <c r="Q5" s="596" t="s">
        <v>328</v>
      </c>
      <c r="R5" s="599" t="s">
        <v>330</v>
      </c>
      <c r="S5" s="394" t="s">
        <v>332</v>
      </c>
      <c r="T5" s="622" t="s">
        <v>542</v>
      </c>
      <c r="U5" s="86" t="str">
        <f>+T5</f>
        <v>MARZO</v>
      </c>
      <c r="V5" s="419" t="str">
        <f>+T5</f>
        <v>MARZO</v>
      </c>
      <c r="Y5" s="106"/>
      <c r="AB5" s="106"/>
      <c r="AC5" s="106"/>
      <c r="AD5" s="626"/>
      <c r="AE5" s="594"/>
      <c r="AF5" s="498" t="s">
        <v>540</v>
      </c>
      <c r="AG5" s="498" t="s">
        <v>541</v>
      </c>
      <c r="AH5" s="498" t="s">
        <v>542</v>
      </c>
      <c r="AI5" s="498" t="s">
        <v>543</v>
      </c>
      <c r="AJ5" s="498" t="s">
        <v>544</v>
      </c>
      <c r="AK5" s="498" t="s">
        <v>319</v>
      </c>
      <c r="AL5" s="498" t="s">
        <v>320</v>
      </c>
      <c r="AM5" s="498" t="s">
        <v>321</v>
      </c>
      <c r="AN5" s="498" t="s">
        <v>322</v>
      </c>
      <c r="AO5" s="498" t="s">
        <v>323</v>
      </c>
      <c r="AP5" s="498" t="s">
        <v>324</v>
      </c>
      <c r="AQ5" s="498" t="s">
        <v>325</v>
      </c>
    </row>
    <row r="6" spans="1:43" ht="15">
      <c r="A6" s="96" t="s">
        <v>101</v>
      </c>
      <c r="B6" s="106">
        <v>94955000</v>
      </c>
      <c r="C6" s="106">
        <f>+B6*12</f>
        <v>1139460000</v>
      </c>
      <c r="D6" s="106">
        <v>94955000</v>
      </c>
      <c r="E6" s="106">
        <v>94955000</v>
      </c>
      <c r="F6" s="106">
        <v>94955000</v>
      </c>
      <c r="G6" s="106">
        <v>94955000</v>
      </c>
      <c r="H6" s="106">
        <v>94955000</v>
      </c>
      <c r="I6" s="106">
        <v>94955000</v>
      </c>
      <c r="J6" s="106"/>
      <c r="K6" s="106"/>
      <c r="L6" s="106"/>
      <c r="M6" s="106"/>
      <c r="N6" s="106"/>
      <c r="O6" s="106"/>
      <c r="P6" s="106">
        <f>SUM(D6:O6)</f>
        <v>569730000</v>
      </c>
      <c r="Q6" s="344">
        <f>+P6/C6</f>
        <v>0.5</v>
      </c>
      <c r="R6" s="346">
        <f t="shared" ref="R6:R16" si="0">+C6-P6</f>
        <v>569730000</v>
      </c>
      <c r="S6" s="395">
        <f>+R6/C6</f>
        <v>0.5</v>
      </c>
      <c r="T6" s="402">
        <f t="shared" ref="T6:T16" si="1">+B6*$T$3</f>
        <v>284865000</v>
      </c>
      <c r="U6" s="109">
        <f>+P6</f>
        <v>569730000</v>
      </c>
      <c r="V6" s="403">
        <f>+U6/T6</f>
        <v>2</v>
      </c>
      <c r="W6" s="347">
        <f>+S6+Q6</f>
        <v>1</v>
      </c>
      <c r="Y6" s="106"/>
      <c r="Z6" s="347"/>
      <c r="AA6" s="49"/>
      <c r="AB6" s="106"/>
      <c r="AC6" s="106"/>
      <c r="AD6" s="628"/>
      <c r="AE6" s="594"/>
      <c r="AF6" s="49">
        <f>SUM(D6:D8)</f>
        <v>86648900</v>
      </c>
      <c r="AG6" s="49">
        <f>SUM(E6:E8)</f>
        <v>86961900</v>
      </c>
      <c r="AH6" s="49">
        <f>SUM(F6:F8)</f>
        <v>86604050</v>
      </c>
      <c r="AI6" s="49">
        <f t="shared" ref="AI6:AQ6" si="2">SUM(G6:G8)</f>
        <v>86473950</v>
      </c>
      <c r="AJ6" s="49">
        <f t="shared" si="2"/>
        <v>86406600</v>
      </c>
      <c r="AK6" s="49">
        <f t="shared" si="2"/>
        <v>86003500</v>
      </c>
      <c r="AL6" s="49">
        <f t="shared" si="2"/>
        <v>0</v>
      </c>
      <c r="AM6" s="49">
        <f t="shared" si="2"/>
        <v>0</v>
      </c>
      <c r="AN6" s="49">
        <f t="shared" si="2"/>
        <v>0</v>
      </c>
      <c r="AO6" s="49">
        <f t="shared" si="2"/>
        <v>0</v>
      </c>
      <c r="AP6" s="49">
        <f t="shared" si="2"/>
        <v>0</v>
      </c>
      <c r="AQ6" s="49">
        <f t="shared" si="2"/>
        <v>0</v>
      </c>
    </row>
    <row r="7" spans="1:43" ht="15">
      <c r="A7" s="96" t="s">
        <v>104</v>
      </c>
      <c r="B7" s="106">
        <f>ROUND((-B6*10%)*89%,-3)</f>
        <v>-8451000</v>
      </c>
      <c r="C7" s="106">
        <f t="shared" ref="C7:C12" si="3">+B7*12</f>
        <v>-101412000</v>
      </c>
      <c r="D7" s="106">
        <v>-7976100</v>
      </c>
      <c r="E7" s="106">
        <v>-7663100</v>
      </c>
      <c r="F7" s="106">
        <v>-8020950</v>
      </c>
      <c r="G7" s="106">
        <v>-8151050</v>
      </c>
      <c r="H7" s="106">
        <v>-8218400</v>
      </c>
      <c r="I7" s="106">
        <v>-8566500</v>
      </c>
      <c r="J7" s="106"/>
      <c r="K7" s="106"/>
      <c r="L7" s="106"/>
      <c r="M7" s="106"/>
      <c r="N7" s="106"/>
      <c r="O7" s="106"/>
      <c r="P7" s="106">
        <f t="shared" ref="P7:P16" si="4">SUM(D7:O7)</f>
        <v>-48596100</v>
      </c>
      <c r="Q7" s="344">
        <f>+P7/C7</f>
        <v>0.47919476984972192</v>
      </c>
      <c r="R7" s="346">
        <f t="shared" si="0"/>
        <v>-52815900</v>
      </c>
      <c r="S7" s="395">
        <f>+R7/C7</f>
        <v>0.52080523015027802</v>
      </c>
      <c r="T7" s="402">
        <f t="shared" si="1"/>
        <v>-25353000</v>
      </c>
      <c r="U7" s="109">
        <f t="shared" ref="U7:U34" si="5">+P7</f>
        <v>-48596100</v>
      </c>
      <c r="V7" s="403">
        <f t="shared" ref="V7:V35" si="6">+U7/T7</f>
        <v>1.9167790793988877</v>
      </c>
      <c r="W7" s="347">
        <f t="shared" ref="W7:W35" si="7">+S7+Q7</f>
        <v>1</v>
      </c>
      <c r="Y7" s="106"/>
      <c r="Z7" s="347"/>
      <c r="AA7" s="49">
        <f>+G7+G8</f>
        <v>-8481050</v>
      </c>
      <c r="AB7" s="106"/>
      <c r="AC7" s="106"/>
      <c r="AD7" s="628"/>
      <c r="AE7" s="594"/>
      <c r="AG7" s="49">
        <f>+AG6-E17</f>
        <v>0</v>
      </c>
    </row>
    <row r="8" spans="1:43" ht="15">
      <c r="A8" s="96" t="s">
        <v>105</v>
      </c>
      <c r="B8" s="106">
        <f>-55000*7</f>
        <v>-385000</v>
      </c>
      <c r="C8" s="106">
        <f t="shared" si="3"/>
        <v>-4620000</v>
      </c>
      <c r="D8" s="106">
        <v>-330000</v>
      </c>
      <c r="E8" s="106">
        <v>-330000</v>
      </c>
      <c r="F8" s="106">
        <v>-330000</v>
      </c>
      <c r="G8" s="106">
        <v>-330000</v>
      </c>
      <c r="H8" s="106">
        <v>-330000</v>
      </c>
      <c r="I8" s="106">
        <v>-385000</v>
      </c>
      <c r="J8" s="106"/>
      <c r="K8" s="106"/>
      <c r="L8" s="106"/>
      <c r="M8" s="106"/>
      <c r="N8" s="106"/>
      <c r="O8" s="106"/>
      <c r="P8" s="106">
        <f t="shared" si="4"/>
        <v>-2035000</v>
      </c>
      <c r="Q8" s="344">
        <f>+P8/C8</f>
        <v>0.44047619047619047</v>
      </c>
      <c r="R8" s="346">
        <f t="shared" si="0"/>
        <v>-2585000</v>
      </c>
      <c r="S8" s="395">
        <f>+R8/C8</f>
        <v>0.55952380952380953</v>
      </c>
      <c r="T8" s="402">
        <f t="shared" si="1"/>
        <v>-1155000</v>
      </c>
      <c r="U8" s="109">
        <f t="shared" si="5"/>
        <v>-2035000</v>
      </c>
      <c r="V8" s="403">
        <f t="shared" si="6"/>
        <v>1.7619047619047619</v>
      </c>
      <c r="W8" s="347">
        <f t="shared" si="7"/>
        <v>1</v>
      </c>
      <c r="Y8" s="106"/>
      <c r="Z8" s="347"/>
      <c r="AA8">
        <v>8218400</v>
      </c>
      <c r="AB8" s="106"/>
      <c r="AC8" s="106"/>
      <c r="AD8" s="628"/>
      <c r="AE8" s="594"/>
    </row>
    <row r="9" spans="1:43" ht="15.75" hidden="1" customHeight="1">
      <c r="A9" s="96" t="s">
        <v>102</v>
      </c>
      <c r="B9" s="106">
        <v>0</v>
      </c>
      <c r="C9" s="106">
        <f t="shared" si="3"/>
        <v>0</v>
      </c>
      <c r="D9" s="106">
        <f>465685+3000</f>
        <v>468685</v>
      </c>
      <c r="E9" s="106">
        <f>7178300+132200</f>
        <v>7310500</v>
      </c>
      <c r="F9" s="106">
        <v>199300</v>
      </c>
      <c r="G9" s="106"/>
      <c r="H9" s="106">
        <v>398000</v>
      </c>
      <c r="I9" s="106">
        <v>68400</v>
      </c>
      <c r="J9" s="106"/>
      <c r="K9" s="106"/>
      <c r="L9" s="106"/>
      <c r="M9" s="106"/>
      <c r="N9" s="106"/>
      <c r="O9" s="106"/>
      <c r="P9" s="106">
        <f t="shared" si="4"/>
        <v>8444885</v>
      </c>
      <c r="Q9" s="344"/>
      <c r="R9" s="346">
        <f t="shared" si="0"/>
        <v>-8444885</v>
      </c>
      <c r="S9" s="395"/>
      <c r="T9" s="404">
        <f t="shared" si="1"/>
        <v>0</v>
      </c>
      <c r="U9" s="100">
        <f t="shared" si="5"/>
        <v>8444885</v>
      </c>
      <c r="V9" s="403"/>
      <c r="W9" s="347">
        <f t="shared" si="7"/>
        <v>0</v>
      </c>
      <c r="Y9" s="106"/>
      <c r="Z9" s="347"/>
      <c r="AA9" s="49">
        <f>+AA7+AA8</f>
        <v>-262650</v>
      </c>
      <c r="AB9" s="106"/>
      <c r="AC9" s="106"/>
      <c r="AD9" s="629"/>
      <c r="AE9" s="594"/>
    </row>
    <row r="10" spans="1:43" ht="15" hidden="1" customHeight="1">
      <c r="A10" s="96" t="s">
        <v>103</v>
      </c>
      <c r="B10" s="106"/>
      <c r="C10" s="106"/>
      <c r="D10" s="106"/>
      <c r="E10" s="106">
        <f>-145750-15900</f>
        <v>-161650</v>
      </c>
      <c r="F10" s="106"/>
      <c r="G10" s="106">
        <v>140600</v>
      </c>
      <c r="H10" s="106"/>
      <c r="I10" s="106"/>
      <c r="J10" s="106"/>
      <c r="K10" s="106"/>
      <c r="L10" s="106"/>
      <c r="M10" s="106"/>
      <c r="N10" s="106"/>
      <c r="O10" s="106"/>
      <c r="P10" s="106">
        <f t="shared" si="4"/>
        <v>-21050</v>
      </c>
      <c r="Q10" s="344"/>
      <c r="R10" s="346">
        <f t="shared" si="0"/>
        <v>21050</v>
      </c>
      <c r="S10" s="395"/>
      <c r="T10" s="404"/>
      <c r="U10" s="100"/>
      <c r="V10" s="403"/>
      <c r="W10" s="347"/>
      <c r="Y10" s="106"/>
      <c r="Z10" s="347"/>
      <c r="AB10" s="106"/>
      <c r="AC10" s="106"/>
      <c r="AD10" s="621"/>
      <c r="AE10" s="594"/>
      <c r="AF10" s="49"/>
    </row>
    <row r="11" spans="1:43" ht="12.75" hidden="1" customHeight="1">
      <c r="A11" s="96" t="s">
        <v>152</v>
      </c>
      <c r="B11" s="106">
        <v>0</v>
      </c>
      <c r="C11" s="106">
        <f t="shared" si="3"/>
        <v>0</v>
      </c>
      <c r="D11" s="106">
        <v>1072500</v>
      </c>
      <c r="E11" s="106">
        <v>1072500</v>
      </c>
      <c r="F11" s="106">
        <v>1155500</v>
      </c>
      <c r="G11" s="106">
        <v>1157500</v>
      </c>
      <c r="H11" s="106">
        <v>1072500</v>
      </c>
      <c r="I11" s="106">
        <v>1155000</v>
      </c>
      <c r="J11" s="106"/>
      <c r="K11" s="106"/>
      <c r="L11" s="106"/>
      <c r="M11" s="106"/>
      <c r="N11" s="106"/>
      <c r="O11" s="106"/>
      <c r="P11" s="106">
        <f t="shared" si="4"/>
        <v>6685500</v>
      </c>
      <c r="Q11" s="344"/>
      <c r="R11" s="346">
        <f t="shared" si="0"/>
        <v>-6685500</v>
      </c>
      <c r="S11" s="395"/>
      <c r="T11" s="402">
        <f t="shared" si="1"/>
        <v>0</v>
      </c>
      <c r="U11" s="109">
        <f t="shared" si="5"/>
        <v>6685500</v>
      </c>
      <c r="V11" s="403"/>
      <c r="W11" s="347">
        <f t="shared" si="7"/>
        <v>0</v>
      </c>
      <c r="Y11" s="106"/>
      <c r="Z11" s="347"/>
      <c r="AB11" s="106"/>
      <c r="AC11" s="106"/>
      <c r="AE11" s="594"/>
    </row>
    <row r="12" spans="1:43" ht="12.75" hidden="1" customHeight="1">
      <c r="A12" s="96" t="s">
        <v>368</v>
      </c>
      <c r="B12" s="106">
        <v>0</v>
      </c>
      <c r="C12" s="106">
        <f t="shared" si="3"/>
        <v>0</v>
      </c>
      <c r="D12" s="106">
        <v>2240000</v>
      </c>
      <c r="E12" s="106">
        <v>-307800</v>
      </c>
      <c r="F12" s="106">
        <v>196000</v>
      </c>
      <c r="G12" s="106">
        <v>266000</v>
      </c>
      <c r="H12" s="106"/>
      <c r="I12" s="106">
        <v>616000</v>
      </c>
      <c r="J12" s="106"/>
      <c r="K12" s="106"/>
      <c r="L12" s="106"/>
      <c r="M12" s="106"/>
      <c r="N12" s="106"/>
      <c r="O12" s="106"/>
      <c r="P12" s="106">
        <f t="shared" si="4"/>
        <v>3010200</v>
      </c>
      <c r="Q12" s="344"/>
      <c r="R12" s="346">
        <f t="shared" si="0"/>
        <v>-3010200</v>
      </c>
      <c r="S12" s="395"/>
      <c r="T12" s="402">
        <f t="shared" si="1"/>
        <v>0</v>
      </c>
      <c r="U12" s="109">
        <f t="shared" si="5"/>
        <v>3010200</v>
      </c>
      <c r="V12" s="403"/>
      <c r="W12" s="347">
        <f t="shared" si="7"/>
        <v>0</v>
      </c>
      <c r="Y12" s="106"/>
      <c r="Z12" s="347"/>
      <c r="AB12" s="106"/>
      <c r="AC12" s="106"/>
      <c r="AE12" s="594"/>
    </row>
    <row r="13" spans="1:43" ht="12.75" hidden="1" customHeight="1">
      <c r="A13" s="96" t="s">
        <v>166</v>
      </c>
      <c r="B13" s="106">
        <v>0</v>
      </c>
      <c r="C13" s="106">
        <v>0</v>
      </c>
      <c r="D13" s="106">
        <v>190000</v>
      </c>
      <c r="E13" s="106">
        <v>395000</v>
      </c>
      <c r="F13" s="106">
        <v>125000</v>
      </c>
      <c r="G13" s="106"/>
      <c r="H13" s="106"/>
      <c r="I13" s="106"/>
      <c r="J13" s="106"/>
      <c r="K13" s="106"/>
      <c r="L13" s="106"/>
      <c r="M13" s="106"/>
      <c r="N13" s="106"/>
      <c r="O13" s="106"/>
      <c r="P13" s="106">
        <f t="shared" si="4"/>
        <v>710000</v>
      </c>
      <c r="Q13" s="344"/>
      <c r="R13" s="346">
        <f t="shared" si="0"/>
        <v>-710000</v>
      </c>
      <c r="S13" s="395"/>
      <c r="T13" s="402">
        <f t="shared" si="1"/>
        <v>0</v>
      </c>
      <c r="U13" s="109">
        <f t="shared" si="5"/>
        <v>710000</v>
      </c>
      <c r="V13" s="403"/>
      <c r="W13" s="347">
        <f t="shared" si="7"/>
        <v>0</v>
      </c>
      <c r="Y13" s="106"/>
      <c r="Z13" s="347"/>
      <c r="AB13" s="106"/>
      <c r="AC13" s="106"/>
      <c r="AE13" s="594"/>
    </row>
    <row r="14" spans="1:43" ht="12.75" hidden="1" customHeight="1">
      <c r="A14" s="96" t="s">
        <v>568</v>
      </c>
      <c r="B14" s="106"/>
      <c r="C14" s="106"/>
      <c r="D14" s="106">
        <v>67102.42</v>
      </c>
      <c r="E14" s="106">
        <v>46873</v>
      </c>
      <c r="F14" s="106">
        <v>120189</v>
      </c>
      <c r="G14" s="106">
        <f>-144690+1231</f>
        <v>-143459</v>
      </c>
      <c r="H14" s="106">
        <v>5847.67</v>
      </c>
      <c r="I14" s="106">
        <v>3436.63</v>
      </c>
      <c r="J14" s="106"/>
      <c r="K14" s="106"/>
      <c r="L14" s="106"/>
      <c r="M14" s="106"/>
      <c r="N14" s="106"/>
      <c r="O14" s="106"/>
      <c r="P14" s="106">
        <f t="shared" si="4"/>
        <v>99989.719999999987</v>
      </c>
      <c r="Q14" s="344"/>
      <c r="R14" s="346">
        <f t="shared" si="0"/>
        <v>-99989.719999999987</v>
      </c>
      <c r="S14" s="395"/>
      <c r="T14" s="402">
        <f t="shared" si="1"/>
        <v>0</v>
      </c>
      <c r="U14" s="109">
        <f t="shared" si="5"/>
        <v>99989.719999999987</v>
      </c>
      <c r="V14" s="403"/>
      <c r="W14" s="347">
        <f t="shared" si="7"/>
        <v>0</v>
      </c>
      <c r="Y14" s="106"/>
      <c r="Z14" s="347"/>
      <c r="AB14" s="106"/>
      <c r="AC14" s="106"/>
      <c r="AE14" s="594"/>
    </row>
    <row r="15" spans="1:43" ht="12.75" hidden="1" customHeight="1">
      <c r="A15" s="96" t="s">
        <v>687</v>
      </c>
      <c r="B15" s="106"/>
      <c r="C15" s="106"/>
      <c r="D15" s="106">
        <v>85</v>
      </c>
      <c r="E15" s="106">
        <f>338+12792560</f>
        <v>12792898</v>
      </c>
      <c r="F15" s="106"/>
      <c r="G15" s="106"/>
      <c r="H15" s="106"/>
      <c r="I15" s="106"/>
      <c r="J15" s="106"/>
      <c r="K15" s="106"/>
      <c r="L15" s="106"/>
      <c r="M15" s="106"/>
      <c r="N15" s="106"/>
      <c r="O15" s="106"/>
      <c r="P15" s="106">
        <f t="shared" si="4"/>
        <v>12792983</v>
      </c>
      <c r="Q15" s="344"/>
      <c r="R15" s="346">
        <f t="shared" si="0"/>
        <v>-12792983</v>
      </c>
      <c r="S15" s="395"/>
      <c r="T15" s="404">
        <f t="shared" si="1"/>
        <v>0</v>
      </c>
      <c r="U15" s="100">
        <f t="shared" si="5"/>
        <v>12792983</v>
      </c>
      <c r="V15" s="403"/>
      <c r="W15" s="347">
        <f t="shared" si="7"/>
        <v>0</v>
      </c>
      <c r="Y15" s="106"/>
      <c r="Z15" s="347"/>
      <c r="AB15" s="106"/>
      <c r="AC15" s="106"/>
      <c r="AE15" s="594"/>
    </row>
    <row r="16" spans="1:43" ht="15" hidden="1" customHeight="1">
      <c r="A16" s="97" t="s">
        <v>688</v>
      </c>
      <c r="B16" s="106"/>
      <c r="C16" s="106"/>
      <c r="D16" s="106">
        <v>-4038372.42</v>
      </c>
      <c r="E16" s="106">
        <v>-21148321</v>
      </c>
      <c r="F16" s="106">
        <v>-1795989</v>
      </c>
      <c r="G16" s="106">
        <v>-1420641</v>
      </c>
      <c r="H16" s="106">
        <v>-1476347.67</v>
      </c>
      <c r="I16" s="106">
        <v>-1842836.63</v>
      </c>
      <c r="J16" s="106"/>
      <c r="K16" s="106"/>
      <c r="L16" s="106"/>
      <c r="M16" s="106"/>
      <c r="N16" s="106"/>
      <c r="O16" s="106"/>
      <c r="P16" s="106">
        <f t="shared" si="4"/>
        <v>-31722507.720000003</v>
      </c>
      <c r="Q16" s="344"/>
      <c r="R16" s="346">
        <f t="shared" si="0"/>
        <v>31722507.720000003</v>
      </c>
      <c r="S16" s="395"/>
      <c r="T16" s="405">
        <f t="shared" si="1"/>
        <v>0</v>
      </c>
      <c r="U16" s="113">
        <f>+P16</f>
        <v>-31722507.720000003</v>
      </c>
      <c r="V16" s="403"/>
      <c r="W16" s="347">
        <f>+S16+Q16</f>
        <v>0</v>
      </c>
      <c r="Y16" s="106"/>
      <c r="Z16" s="347"/>
      <c r="AB16" s="106"/>
      <c r="AC16" s="106"/>
      <c r="AE16" s="594"/>
    </row>
    <row r="17" spans="1:58" s="789" customFormat="1" ht="28.5" customHeight="1">
      <c r="A17" s="780" t="s">
        <v>106</v>
      </c>
      <c r="B17" s="781">
        <f t="shared" ref="B17:P17" si="8">SUM(B6:B16)</f>
        <v>86119000</v>
      </c>
      <c r="C17" s="781">
        <f t="shared" si="8"/>
        <v>1033428000</v>
      </c>
      <c r="D17" s="781">
        <f t="shared" si="8"/>
        <v>86648900</v>
      </c>
      <c r="E17" s="781">
        <f t="shared" si="8"/>
        <v>86961900</v>
      </c>
      <c r="F17" s="781">
        <f t="shared" si="8"/>
        <v>86604050</v>
      </c>
      <c r="G17" s="781">
        <f t="shared" si="8"/>
        <v>86473950</v>
      </c>
      <c r="H17" s="781">
        <f t="shared" si="8"/>
        <v>86406600</v>
      </c>
      <c r="I17" s="781">
        <f t="shared" si="8"/>
        <v>86003500</v>
      </c>
      <c r="J17" s="781">
        <f t="shared" si="8"/>
        <v>0</v>
      </c>
      <c r="K17" s="781">
        <f t="shared" si="8"/>
        <v>0</v>
      </c>
      <c r="L17" s="781">
        <f t="shared" si="8"/>
        <v>0</v>
      </c>
      <c r="M17" s="781">
        <f t="shared" si="8"/>
        <v>0</v>
      </c>
      <c r="N17" s="781">
        <f t="shared" si="8"/>
        <v>0</v>
      </c>
      <c r="O17" s="781">
        <f t="shared" si="8"/>
        <v>0</v>
      </c>
      <c r="P17" s="781">
        <f t="shared" si="8"/>
        <v>519098900</v>
      </c>
      <c r="Q17" s="782">
        <f>+P17/C17</f>
        <v>0.5023077563216789</v>
      </c>
      <c r="R17" s="783">
        <f>SUM(R6:R16)</f>
        <v>514329100</v>
      </c>
      <c r="S17" s="784">
        <f>+R17/C17</f>
        <v>0.4976922436783211</v>
      </c>
      <c r="T17" s="785">
        <f t="shared" ref="T17:T34" si="9">+B17*$T$3</f>
        <v>258357000</v>
      </c>
      <c r="U17" s="786">
        <f t="shared" si="5"/>
        <v>519098900</v>
      </c>
      <c r="V17" s="787">
        <f t="shared" si="6"/>
        <v>2.0092310252867156</v>
      </c>
      <c r="W17" s="788">
        <f t="shared" si="7"/>
        <v>1</v>
      </c>
      <c r="X17"/>
      <c r="Y17" s="106"/>
      <c r="Z17" s="788"/>
      <c r="AA17"/>
      <c r="AB17" s="106"/>
      <c r="AC17" s="790"/>
      <c r="AD17" s="791"/>
      <c r="AE17" s="792"/>
    </row>
    <row r="18" spans="1:58">
      <c r="A18" s="36"/>
      <c r="B18" s="36"/>
      <c r="C18" s="36"/>
      <c r="D18" s="36"/>
      <c r="E18" s="36"/>
      <c r="F18" s="36"/>
      <c r="G18" s="36"/>
      <c r="H18" s="36"/>
      <c r="I18" s="36"/>
      <c r="J18" s="36"/>
      <c r="K18" s="36"/>
      <c r="L18" s="36"/>
      <c r="M18" s="36"/>
      <c r="N18" s="36"/>
      <c r="O18" s="36"/>
      <c r="P18" s="36">
        <f>SUM(H18:M18)</f>
        <v>0</v>
      </c>
      <c r="Q18" s="350"/>
      <c r="R18" s="346">
        <f t="shared" ref="R18:R34" si="10">+C18-P18</f>
        <v>0</v>
      </c>
      <c r="S18" s="353"/>
      <c r="T18" s="406">
        <f t="shared" si="9"/>
        <v>0</v>
      </c>
      <c r="U18" s="407">
        <f t="shared" si="5"/>
        <v>0</v>
      </c>
      <c r="V18" s="408"/>
      <c r="W18" s="347">
        <f t="shared" si="7"/>
        <v>0</v>
      </c>
      <c r="Y18" s="106"/>
      <c r="Z18" s="347"/>
      <c r="AB18" s="106"/>
      <c r="AC18" s="106"/>
      <c r="AE18" s="594"/>
    </row>
    <row r="19" spans="1:58" ht="15">
      <c r="A19" s="98" t="s">
        <v>107</v>
      </c>
      <c r="B19" s="106">
        <v>709000</v>
      </c>
      <c r="C19" s="106">
        <f>+B19*12</f>
        <v>8508000</v>
      </c>
      <c r="D19" s="106">
        <v>669000</v>
      </c>
      <c r="E19" s="106">
        <v>669000</v>
      </c>
      <c r="F19" s="106">
        <v>669000</v>
      </c>
      <c r="G19" s="106">
        <v>669000</v>
      </c>
      <c r="H19" s="106">
        <v>669000</v>
      </c>
      <c r="I19" s="106">
        <v>425400</v>
      </c>
      <c r="J19" s="106"/>
      <c r="K19" s="106"/>
      <c r="L19" s="106"/>
      <c r="M19" s="106"/>
      <c r="N19" s="106"/>
      <c r="O19" s="106"/>
      <c r="P19" s="106">
        <f t="shared" ref="P19:P23" si="11">SUM(D19:O19)</f>
        <v>3770400</v>
      </c>
      <c r="Q19" s="344">
        <f t="shared" ref="Q19:Q35" si="12">+P19/C19</f>
        <v>0.44315937940761635</v>
      </c>
      <c r="R19" s="346">
        <f t="shared" si="10"/>
        <v>4737600</v>
      </c>
      <c r="S19" s="395">
        <f t="shared" ref="S19:S72" si="13">+R19/C19</f>
        <v>0.55684062059238359</v>
      </c>
      <c r="T19" s="402">
        <f t="shared" si="9"/>
        <v>2127000</v>
      </c>
      <c r="U19" s="109">
        <f t="shared" si="5"/>
        <v>3770400</v>
      </c>
      <c r="V19" s="403">
        <f t="shared" si="6"/>
        <v>1.7726375176304654</v>
      </c>
      <c r="W19" s="347">
        <f t="shared" si="7"/>
        <v>1</v>
      </c>
      <c r="Y19" s="106"/>
      <c r="Z19" s="347"/>
      <c r="AB19" s="106"/>
      <c r="AC19" s="106"/>
      <c r="AD19" s="628"/>
      <c r="AE19" s="594"/>
    </row>
    <row r="20" spans="1:58" ht="15">
      <c r="A20" s="96" t="s">
        <v>108</v>
      </c>
      <c r="B20" s="106">
        <v>2934000</v>
      </c>
      <c r="C20" s="106">
        <f>+B20*12</f>
        <v>35208000</v>
      </c>
      <c r="D20" s="106">
        <v>2768000</v>
      </c>
      <c r="E20" s="106">
        <v>2768000</v>
      </c>
      <c r="F20" s="106">
        <v>2768000</v>
      </c>
      <c r="G20" s="106">
        <v>2768000</v>
      </c>
      <c r="H20" s="106">
        <v>2768000</v>
      </c>
      <c r="I20" s="106">
        <v>3764000</v>
      </c>
      <c r="J20" s="106"/>
      <c r="K20" s="106"/>
      <c r="L20" s="106"/>
      <c r="M20" s="106"/>
      <c r="N20" s="106"/>
      <c r="O20" s="106"/>
      <c r="P20" s="106">
        <f t="shared" si="11"/>
        <v>17604000</v>
      </c>
      <c r="Q20" s="344">
        <f t="shared" si="12"/>
        <v>0.5</v>
      </c>
      <c r="R20" s="346">
        <f t="shared" si="10"/>
        <v>17604000</v>
      </c>
      <c r="S20" s="395">
        <f t="shared" si="13"/>
        <v>0.5</v>
      </c>
      <c r="T20" s="402">
        <f t="shared" si="9"/>
        <v>8802000</v>
      </c>
      <c r="U20" s="109">
        <f t="shared" si="5"/>
        <v>17604000</v>
      </c>
      <c r="V20" s="403">
        <f t="shared" si="6"/>
        <v>2</v>
      </c>
      <c r="W20" s="347">
        <f t="shared" si="7"/>
        <v>1</v>
      </c>
      <c r="Y20" s="106"/>
      <c r="Z20" s="347"/>
      <c r="AB20" s="106"/>
      <c r="AC20" s="106"/>
      <c r="AD20" s="628"/>
      <c r="AE20" s="594"/>
    </row>
    <row r="21" spans="1:58" ht="15">
      <c r="A21" s="96" t="s">
        <v>109</v>
      </c>
      <c r="B21" s="106">
        <v>878000</v>
      </c>
      <c r="C21" s="106">
        <f>+B21*12</f>
        <v>10536000</v>
      </c>
      <c r="D21" s="106">
        <v>824000</v>
      </c>
      <c r="E21" s="106">
        <v>824000</v>
      </c>
      <c r="F21" s="106">
        <v>824000</v>
      </c>
      <c r="G21" s="106">
        <v>824000</v>
      </c>
      <c r="H21" s="106">
        <v>824000</v>
      </c>
      <c r="I21" s="106">
        <v>1148000</v>
      </c>
      <c r="J21" s="106"/>
      <c r="K21" s="106"/>
      <c r="L21" s="106"/>
      <c r="M21" s="106"/>
      <c r="N21" s="106"/>
      <c r="O21" s="106"/>
      <c r="P21" s="106">
        <f t="shared" si="11"/>
        <v>5268000</v>
      </c>
      <c r="Q21" s="344">
        <f t="shared" si="12"/>
        <v>0.5</v>
      </c>
      <c r="R21" s="346">
        <f t="shared" si="10"/>
        <v>5268000</v>
      </c>
      <c r="S21" s="395">
        <f t="shared" si="13"/>
        <v>0.5</v>
      </c>
      <c r="T21" s="402">
        <f t="shared" si="9"/>
        <v>2634000</v>
      </c>
      <c r="U21" s="109">
        <f t="shared" si="5"/>
        <v>5268000</v>
      </c>
      <c r="V21" s="403">
        <f t="shared" si="6"/>
        <v>2</v>
      </c>
      <c r="W21" s="347">
        <f t="shared" si="7"/>
        <v>1</v>
      </c>
      <c r="Y21" s="106"/>
      <c r="Z21" s="347"/>
      <c r="AB21" s="106"/>
      <c r="AC21" s="106"/>
      <c r="AD21" s="628"/>
      <c r="AE21" s="623"/>
    </row>
    <row r="22" spans="1:58" ht="15">
      <c r="A22" s="338" t="s">
        <v>742</v>
      </c>
      <c r="B22" s="106">
        <v>84000</v>
      </c>
      <c r="C22" s="106">
        <f>+B22*12</f>
        <v>1008000</v>
      </c>
      <c r="D22" s="106"/>
      <c r="E22" s="106"/>
      <c r="F22" s="106">
        <v>210000</v>
      </c>
      <c r="G22" s="106">
        <v>190000</v>
      </c>
      <c r="H22" s="106">
        <v>190000</v>
      </c>
      <c r="I22" s="106">
        <v>50000</v>
      </c>
      <c r="J22" s="106"/>
      <c r="K22" s="106"/>
      <c r="L22" s="106"/>
      <c r="M22" s="106"/>
      <c r="N22" s="106"/>
      <c r="O22" s="106"/>
      <c r="P22" s="106">
        <f t="shared" ref="P22" si="14">SUM(D22:O22)</f>
        <v>640000</v>
      </c>
      <c r="Q22" s="344">
        <f t="shared" ref="Q22" si="15">+P22/C22</f>
        <v>0.63492063492063489</v>
      </c>
      <c r="R22" s="346">
        <f t="shared" ref="R22" si="16">+C22-P22</f>
        <v>368000</v>
      </c>
      <c r="S22" s="395">
        <f t="shared" ref="S22" si="17">+R22/C22</f>
        <v>0.36507936507936506</v>
      </c>
      <c r="T22" s="402">
        <f t="shared" ref="T22" si="18">+B22*$T$3</f>
        <v>252000</v>
      </c>
      <c r="U22" s="109">
        <f t="shared" ref="U22" si="19">+P22</f>
        <v>640000</v>
      </c>
      <c r="V22" s="403">
        <f t="shared" ref="V22" si="20">+U22/T22</f>
        <v>2.5396825396825395</v>
      </c>
      <c r="W22" s="347">
        <f t="shared" ref="W22" si="21">+S22+Q22</f>
        <v>1</v>
      </c>
      <c r="Y22" s="106"/>
      <c r="Z22" s="347"/>
      <c r="AB22" s="106"/>
      <c r="AC22" s="106"/>
      <c r="AD22" s="628"/>
      <c r="AE22" s="623"/>
    </row>
    <row r="23" spans="1:58" ht="15">
      <c r="A23" s="338" t="s">
        <v>167</v>
      </c>
      <c r="B23" s="106">
        <v>50000</v>
      </c>
      <c r="C23" s="106">
        <f>+B23*12</f>
        <v>600000</v>
      </c>
      <c r="D23" s="106"/>
      <c r="E23" s="106"/>
      <c r="F23" s="106"/>
      <c r="G23" s="106"/>
      <c r="H23" s="106"/>
      <c r="I23" s="106"/>
      <c r="J23" s="106"/>
      <c r="K23" s="106"/>
      <c r="L23" s="106"/>
      <c r="M23" s="106"/>
      <c r="N23" s="106"/>
      <c r="O23" s="106"/>
      <c r="P23" s="106">
        <f t="shared" si="11"/>
        <v>0</v>
      </c>
      <c r="Q23" s="344">
        <f t="shared" si="12"/>
        <v>0</v>
      </c>
      <c r="R23" s="346">
        <f t="shared" si="10"/>
        <v>600000</v>
      </c>
      <c r="S23" s="396">
        <f t="shared" si="13"/>
        <v>1</v>
      </c>
      <c r="T23" s="409">
        <f t="shared" si="9"/>
        <v>150000</v>
      </c>
      <c r="U23" s="339">
        <f t="shared" si="5"/>
        <v>0</v>
      </c>
      <c r="V23" s="410">
        <f t="shared" si="6"/>
        <v>0</v>
      </c>
      <c r="W23" s="347">
        <f t="shared" si="7"/>
        <v>1</v>
      </c>
      <c r="Y23" s="106"/>
      <c r="Z23" s="347"/>
      <c r="AB23" s="106"/>
      <c r="AC23" s="106"/>
      <c r="AD23" s="628"/>
      <c r="AE23" s="623"/>
    </row>
    <row r="24" spans="1:58" s="343" customFormat="1" ht="22.5" customHeight="1">
      <c r="A24" s="342" t="s">
        <v>110</v>
      </c>
      <c r="B24" s="337">
        <f>SUM(B19:B23)</f>
        <v>4655000</v>
      </c>
      <c r="C24" s="337">
        <f>SUM(C19:C23)</f>
        <v>55860000</v>
      </c>
      <c r="D24" s="337">
        <f t="shared" ref="D24:G24" si="22">SUM(D19:D23)</f>
        <v>4261000</v>
      </c>
      <c r="E24" s="337">
        <f t="shared" si="22"/>
        <v>4261000</v>
      </c>
      <c r="F24" s="337">
        <f t="shared" si="22"/>
        <v>4471000</v>
      </c>
      <c r="G24" s="337">
        <f t="shared" si="22"/>
        <v>4451000</v>
      </c>
      <c r="H24" s="337">
        <f>SUM(H19:H23)</f>
        <v>4451000</v>
      </c>
      <c r="I24" s="337">
        <f>SUM(I19:I23)</f>
        <v>5387400</v>
      </c>
      <c r="J24" s="337">
        <f>SUM(J19:J23)</f>
        <v>0</v>
      </c>
      <c r="K24" s="337">
        <f t="shared" ref="K24:O24" si="23">SUM(K19:K23)</f>
        <v>0</v>
      </c>
      <c r="L24" s="337">
        <f t="shared" si="23"/>
        <v>0</v>
      </c>
      <c r="M24" s="337">
        <f t="shared" si="23"/>
        <v>0</v>
      </c>
      <c r="N24" s="337">
        <f t="shared" si="23"/>
        <v>0</v>
      </c>
      <c r="O24" s="337">
        <f t="shared" si="23"/>
        <v>0</v>
      </c>
      <c r="P24" s="337">
        <f>SUM(P19:P23)</f>
        <v>27282400</v>
      </c>
      <c r="Q24" s="348">
        <f t="shared" si="12"/>
        <v>0.48840673111349803</v>
      </c>
      <c r="R24" s="346">
        <f t="shared" si="10"/>
        <v>28577600</v>
      </c>
      <c r="S24" s="397">
        <f t="shared" si="13"/>
        <v>0.51159326888650192</v>
      </c>
      <c r="T24" s="411">
        <f t="shared" si="9"/>
        <v>13965000</v>
      </c>
      <c r="U24" s="337">
        <f t="shared" si="5"/>
        <v>27282400</v>
      </c>
      <c r="V24" s="412">
        <f t="shared" si="6"/>
        <v>1.9536269244539921</v>
      </c>
      <c r="W24" s="347">
        <f t="shared" si="7"/>
        <v>1</v>
      </c>
      <c r="X24"/>
      <c r="Y24" s="106"/>
      <c r="Z24" s="347"/>
      <c r="AA24"/>
      <c r="AB24" s="106"/>
      <c r="AC24" s="106"/>
      <c r="AD24" s="629"/>
      <c r="AE24" s="623"/>
    </row>
    <row r="25" spans="1:58" ht="15">
      <c r="A25" s="340" t="s">
        <v>111</v>
      </c>
      <c r="B25" s="106">
        <v>3684000</v>
      </c>
      <c r="C25" s="106">
        <f>+B25*12</f>
        <v>44208000</v>
      </c>
      <c r="D25" s="106">
        <v>3574223</v>
      </c>
      <c r="E25" s="106">
        <v>3574223</v>
      </c>
      <c r="F25" s="106">
        <v>3574223</v>
      </c>
      <c r="G25" s="106">
        <v>3574223</v>
      </c>
      <c r="H25" s="106">
        <v>3574223</v>
      </c>
      <c r="I25" s="106">
        <v>3574223</v>
      </c>
      <c r="J25" s="106"/>
      <c r="K25" s="106"/>
      <c r="L25" s="106"/>
      <c r="M25" s="106"/>
      <c r="N25" s="106"/>
      <c r="O25" s="106"/>
      <c r="P25" s="106">
        <f>SUM(D25:O25)</f>
        <v>21445338</v>
      </c>
      <c r="Q25" s="345">
        <f t="shared" si="12"/>
        <v>0.48510084147665583</v>
      </c>
      <c r="R25" s="346">
        <f t="shared" si="10"/>
        <v>22762662</v>
      </c>
      <c r="S25" s="398">
        <f t="shared" si="13"/>
        <v>0.51489915852334422</v>
      </c>
      <c r="T25" s="413">
        <f t="shared" si="9"/>
        <v>11052000</v>
      </c>
      <c r="U25" s="341">
        <f t="shared" si="5"/>
        <v>21445338</v>
      </c>
      <c r="V25" s="414">
        <f t="shared" si="6"/>
        <v>1.9404033659066233</v>
      </c>
      <c r="W25" s="347">
        <f t="shared" si="7"/>
        <v>1</v>
      </c>
      <c r="Y25" s="106"/>
      <c r="Z25" s="347"/>
      <c r="AB25" s="106"/>
      <c r="AC25" s="106"/>
      <c r="AD25" s="628"/>
      <c r="AE25" s="623"/>
    </row>
    <row r="26" spans="1:58" s="343" customFormat="1" ht="22.5" customHeight="1">
      <c r="A26" s="342" t="s">
        <v>112</v>
      </c>
      <c r="B26" s="337">
        <f>+B25</f>
        <v>3684000</v>
      </c>
      <c r="C26" s="337">
        <f>+C25</f>
        <v>44208000</v>
      </c>
      <c r="D26" s="337">
        <f t="shared" ref="D26:G26" si="24">+D25</f>
        <v>3574223</v>
      </c>
      <c r="E26" s="337">
        <f t="shared" si="24"/>
        <v>3574223</v>
      </c>
      <c r="F26" s="337">
        <f t="shared" si="24"/>
        <v>3574223</v>
      </c>
      <c r="G26" s="337">
        <f t="shared" si="24"/>
        <v>3574223</v>
      </c>
      <c r="H26" s="337">
        <f>+H25</f>
        <v>3574223</v>
      </c>
      <c r="I26" s="337">
        <f>+I25</f>
        <v>3574223</v>
      </c>
      <c r="J26" s="337">
        <f>+J25</f>
        <v>0</v>
      </c>
      <c r="K26" s="337">
        <f t="shared" ref="K26:O26" si="25">+K25</f>
        <v>0</v>
      </c>
      <c r="L26" s="337">
        <f t="shared" si="25"/>
        <v>0</v>
      </c>
      <c r="M26" s="337">
        <f t="shared" si="25"/>
        <v>0</v>
      </c>
      <c r="N26" s="337">
        <f t="shared" si="25"/>
        <v>0</v>
      </c>
      <c r="O26" s="337">
        <f t="shared" si="25"/>
        <v>0</v>
      </c>
      <c r="P26" s="337">
        <f>+P25</f>
        <v>21445338</v>
      </c>
      <c r="Q26" s="348">
        <f t="shared" si="12"/>
        <v>0.48510084147665583</v>
      </c>
      <c r="R26" s="346">
        <f t="shared" si="10"/>
        <v>22762662</v>
      </c>
      <c r="S26" s="397">
        <f t="shared" si="13"/>
        <v>0.51489915852334422</v>
      </c>
      <c r="T26" s="411">
        <f t="shared" si="9"/>
        <v>11052000</v>
      </c>
      <c r="U26" s="337">
        <f t="shared" si="5"/>
        <v>21445338</v>
      </c>
      <c r="V26" s="412">
        <f t="shared" si="6"/>
        <v>1.9404033659066233</v>
      </c>
      <c r="W26" s="347">
        <f t="shared" si="7"/>
        <v>1</v>
      </c>
      <c r="X26"/>
      <c r="Y26" s="106"/>
      <c r="Z26" s="347"/>
      <c r="AA26"/>
      <c r="AB26" s="106"/>
      <c r="AC26" s="106"/>
      <c r="AD26" s="629"/>
      <c r="AE26" s="623"/>
    </row>
    <row r="27" spans="1:58" ht="15">
      <c r="A27" s="96" t="s">
        <v>113</v>
      </c>
      <c r="B27" s="106">
        <v>42001000</v>
      </c>
      <c r="C27" s="106">
        <f>+B27*12</f>
        <v>504012000</v>
      </c>
      <c r="D27" s="106">
        <v>42001260</v>
      </c>
      <c r="E27" s="106">
        <v>42001260</v>
      </c>
      <c r="F27" s="106">
        <v>42001260</v>
      </c>
      <c r="G27" s="106">
        <v>41218116</v>
      </c>
      <c r="H27" s="106">
        <f>33052520+8781884</f>
        <v>41834404</v>
      </c>
      <c r="I27" s="106">
        <v>42001260</v>
      </c>
      <c r="J27" s="106"/>
      <c r="K27" s="106"/>
      <c r="L27" s="106"/>
      <c r="M27" s="106"/>
      <c r="N27" s="106"/>
      <c r="O27" s="106"/>
      <c r="P27" s="106">
        <f t="shared" ref="P27:P34" si="26">SUM(D27:O27)</f>
        <v>251057560</v>
      </c>
      <c r="Q27" s="344">
        <f t="shared" si="12"/>
        <v>0.49811821940747442</v>
      </c>
      <c r="R27" s="346">
        <f t="shared" si="10"/>
        <v>252954440</v>
      </c>
      <c r="S27" s="395">
        <f t="shared" si="13"/>
        <v>0.50188178059252553</v>
      </c>
      <c r="T27" s="402">
        <f t="shared" si="9"/>
        <v>126003000</v>
      </c>
      <c r="U27" s="109">
        <f t="shared" si="5"/>
        <v>251057560</v>
      </c>
      <c r="V27" s="403">
        <f t="shared" si="6"/>
        <v>1.9924728776298977</v>
      </c>
      <c r="W27" s="347">
        <f t="shared" si="7"/>
        <v>1</v>
      </c>
      <c r="Y27" s="106"/>
      <c r="Z27" s="347"/>
      <c r="AB27" s="106"/>
      <c r="AC27" s="106"/>
      <c r="AD27" s="628"/>
      <c r="AE27" s="623"/>
    </row>
    <row r="28" spans="1:58" s="481" customFormat="1" ht="15">
      <c r="A28" s="98" t="s">
        <v>114</v>
      </c>
      <c r="B28" s="106">
        <v>7824000</v>
      </c>
      <c r="C28" s="106">
        <f>+B28*12</f>
        <v>93888000</v>
      </c>
      <c r="D28" s="106">
        <v>7823706</v>
      </c>
      <c r="E28" s="106">
        <v>7823706</v>
      </c>
      <c r="F28" s="106">
        <v>7823706</v>
      </c>
      <c r="G28" s="106">
        <v>7239537</v>
      </c>
      <c r="H28" s="106">
        <v>7823706</v>
      </c>
      <c r="I28" s="106">
        <v>7823706</v>
      </c>
      <c r="J28" s="106"/>
      <c r="K28" s="106"/>
      <c r="L28" s="106"/>
      <c r="M28" s="106"/>
      <c r="N28" s="106"/>
      <c r="O28" s="106"/>
      <c r="P28" s="106">
        <f t="shared" si="26"/>
        <v>46358067</v>
      </c>
      <c r="Q28" s="344">
        <f t="shared" si="12"/>
        <v>0.49375923440695296</v>
      </c>
      <c r="R28" s="346">
        <f t="shared" si="10"/>
        <v>47529933</v>
      </c>
      <c r="S28" s="395">
        <f t="shared" si="13"/>
        <v>0.50624076559304698</v>
      </c>
      <c r="T28" s="402">
        <f t="shared" si="9"/>
        <v>23472000</v>
      </c>
      <c r="U28" s="109">
        <f t="shared" si="5"/>
        <v>46358067</v>
      </c>
      <c r="V28" s="403">
        <f t="shared" si="6"/>
        <v>1.9750369376278119</v>
      </c>
      <c r="W28" s="347">
        <f t="shared" si="7"/>
        <v>1</v>
      </c>
      <c r="X28"/>
      <c r="Y28" s="106"/>
      <c r="Z28" s="347"/>
      <c r="AA28"/>
      <c r="AB28" s="106"/>
      <c r="AC28" s="106"/>
      <c r="AD28" s="628"/>
      <c r="AE28" s="623"/>
      <c r="AF28"/>
      <c r="AG28"/>
      <c r="AH28"/>
      <c r="AI28"/>
      <c r="AJ28"/>
      <c r="AK28"/>
      <c r="AL28"/>
      <c r="AM28"/>
      <c r="AN28"/>
      <c r="AO28"/>
      <c r="AP28"/>
      <c r="AQ28"/>
      <c r="AR28"/>
      <c r="AS28"/>
      <c r="AT28"/>
      <c r="AU28"/>
      <c r="AV28"/>
      <c r="AW28"/>
      <c r="AX28"/>
      <c r="AY28"/>
      <c r="AZ28"/>
      <c r="BA28"/>
      <c r="BB28"/>
      <c r="BC28"/>
      <c r="BD28"/>
      <c r="BE28"/>
      <c r="BF28"/>
    </row>
    <row r="29" spans="1:58" ht="15">
      <c r="A29" s="96" t="s">
        <v>115</v>
      </c>
      <c r="B29" s="106">
        <v>1855000</v>
      </c>
      <c r="C29" s="106">
        <f t="shared" ref="C29:C34" si="27">+B29*12</f>
        <v>22260000</v>
      </c>
      <c r="D29" s="106">
        <v>1854834</v>
      </c>
      <c r="E29" s="106">
        <v>1854834</v>
      </c>
      <c r="F29" s="106">
        <v>1854834</v>
      </c>
      <c r="G29" s="106">
        <v>1854834</v>
      </c>
      <c r="H29" s="106">
        <v>1854834</v>
      </c>
      <c r="I29" s="106">
        <v>1854834</v>
      </c>
      <c r="J29" s="106"/>
      <c r="K29" s="106"/>
      <c r="L29" s="106"/>
      <c r="M29" s="106"/>
      <c r="N29" s="106"/>
      <c r="O29" s="106"/>
      <c r="P29" s="106">
        <f t="shared" si="26"/>
        <v>11129004</v>
      </c>
      <c r="Q29" s="344">
        <f t="shared" si="12"/>
        <v>0.49995525606469005</v>
      </c>
      <c r="R29" s="346">
        <f t="shared" si="10"/>
        <v>11130996</v>
      </c>
      <c r="S29" s="395">
        <f t="shared" si="13"/>
        <v>0.50004474393530995</v>
      </c>
      <c r="T29" s="402">
        <f t="shared" si="9"/>
        <v>5565000</v>
      </c>
      <c r="U29" s="109">
        <f t="shared" si="5"/>
        <v>11129004</v>
      </c>
      <c r="V29" s="403">
        <f t="shared" si="6"/>
        <v>1.9998210242587602</v>
      </c>
      <c r="W29" s="347">
        <f t="shared" si="7"/>
        <v>1</v>
      </c>
      <c r="Y29" s="106"/>
      <c r="Z29" s="347"/>
      <c r="AB29" s="106"/>
      <c r="AC29" s="106"/>
      <c r="AD29" s="628"/>
      <c r="AE29" s="623"/>
    </row>
    <row r="30" spans="1:58" ht="15">
      <c r="A30" s="96" t="s">
        <v>116</v>
      </c>
      <c r="B30" s="106">
        <v>144000</v>
      </c>
      <c r="C30" s="106">
        <f t="shared" si="27"/>
        <v>1728000</v>
      </c>
      <c r="D30" s="106">
        <v>143000</v>
      </c>
      <c r="E30" s="106">
        <v>143000</v>
      </c>
      <c r="F30" s="106">
        <v>143000</v>
      </c>
      <c r="G30" s="106">
        <v>143000</v>
      </c>
      <c r="H30" s="106">
        <v>143000</v>
      </c>
      <c r="I30" s="106">
        <v>143000</v>
      </c>
      <c r="J30" s="106"/>
      <c r="K30" s="106"/>
      <c r="L30" s="106"/>
      <c r="M30" s="106"/>
      <c r="N30" s="106"/>
      <c r="O30" s="106"/>
      <c r="P30" s="106">
        <f t="shared" si="26"/>
        <v>858000</v>
      </c>
      <c r="Q30" s="344">
        <f t="shared" si="12"/>
        <v>0.49652777777777779</v>
      </c>
      <c r="R30" s="346">
        <f t="shared" si="10"/>
        <v>870000</v>
      </c>
      <c r="S30" s="395">
        <f t="shared" si="13"/>
        <v>0.50347222222222221</v>
      </c>
      <c r="T30" s="402">
        <f t="shared" si="9"/>
        <v>432000</v>
      </c>
      <c r="U30" s="109">
        <f t="shared" si="5"/>
        <v>858000</v>
      </c>
      <c r="V30" s="403">
        <f t="shared" si="6"/>
        <v>1.9861111111111112</v>
      </c>
      <c r="W30" s="347">
        <f t="shared" si="7"/>
        <v>1</v>
      </c>
      <c r="Y30" s="106"/>
      <c r="Z30" s="347"/>
      <c r="AB30" s="106"/>
      <c r="AC30" s="106"/>
      <c r="AD30" s="628"/>
      <c r="AE30" s="623"/>
    </row>
    <row r="31" spans="1:58" ht="15">
      <c r="A31" s="96" t="s">
        <v>117</v>
      </c>
      <c r="B31" s="106">
        <v>740000</v>
      </c>
      <c r="C31" s="106">
        <f t="shared" si="27"/>
        <v>8880000</v>
      </c>
      <c r="D31" s="106"/>
      <c r="E31" s="106"/>
      <c r="F31" s="106">
        <v>872190</v>
      </c>
      <c r="G31" s="106">
        <v>0</v>
      </c>
      <c r="H31" s="106">
        <v>831130</v>
      </c>
      <c r="I31" s="106">
        <v>0</v>
      </c>
      <c r="J31" s="106"/>
      <c r="K31" s="106"/>
      <c r="L31" s="106"/>
      <c r="M31" s="106"/>
      <c r="N31" s="106"/>
      <c r="O31" s="106"/>
      <c r="P31" s="106">
        <f t="shared" si="26"/>
        <v>1703320</v>
      </c>
      <c r="Q31" s="344">
        <f t="shared" si="12"/>
        <v>0.19181531531531532</v>
      </c>
      <c r="R31" s="346">
        <f t="shared" si="10"/>
        <v>7176680</v>
      </c>
      <c r="S31" s="395">
        <f t="shared" si="13"/>
        <v>0.80818468468468474</v>
      </c>
      <c r="T31" s="402">
        <f t="shared" si="9"/>
        <v>2220000</v>
      </c>
      <c r="U31" s="109">
        <f t="shared" si="5"/>
        <v>1703320</v>
      </c>
      <c r="V31" s="403">
        <f t="shared" si="6"/>
        <v>0.76726126126126126</v>
      </c>
      <c r="W31" s="347">
        <f t="shared" si="7"/>
        <v>1</v>
      </c>
      <c r="Y31" s="106"/>
      <c r="Z31" s="347"/>
      <c r="AB31" s="106"/>
      <c r="AC31" s="106"/>
      <c r="AD31" s="628"/>
      <c r="AE31" s="623"/>
    </row>
    <row r="32" spans="1:58" ht="15">
      <c r="A32" s="96" t="s">
        <v>118</v>
      </c>
      <c r="B32" s="106">
        <v>5600000</v>
      </c>
      <c r="C32" s="106">
        <f t="shared" si="27"/>
        <v>67200000</v>
      </c>
      <c r="D32" s="106">
        <v>2534035</v>
      </c>
      <c r="E32" s="106">
        <v>4219906</v>
      </c>
      <c r="F32" s="106">
        <v>4203574</v>
      </c>
      <c r="G32" s="106">
        <v>4926840</v>
      </c>
      <c r="H32" s="106">
        <v>3626890</v>
      </c>
      <c r="I32" s="106">
        <v>4379170</v>
      </c>
      <c r="J32" s="106"/>
      <c r="K32" s="106"/>
      <c r="L32" s="106"/>
      <c r="M32" s="106"/>
      <c r="N32" s="106"/>
      <c r="O32" s="106"/>
      <c r="P32" s="106">
        <f t="shared" si="26"/>
        <v>23890415</v>
      </c>
      <c r="Q32" s="344">
        <f t="shared" si="12"/>
        <v>0.35551212797619047</v>
      </c>
      <c r="R32" s="346">
        <f t="shared" si="10"/>
        <v>43309585</v>
      </c>
      <c r="S32" s="395">
        <f t="shared" si="13"/>
        <v>0.64448787202380953</v>
      </c>
      <c r="T32" s="402">
        <f t="shared" si="9"/>
        <v>16800000</v>
      </c>
      <c r="U32" s="109">
        <f t="shared" si="5"/>
        <v>23890415</v>
      </c>
      <c r="V32" s="403">
        <f t="shared" si="6"/>
        <v>1.4220485119047619</v>
      </c>
      <c r="W32" s="347">
        <f t="shared" si="7"/>
        <v>1</v>
      </c>
      <c r="Y32" s="106"/>
      <c r="Z32" s="347"/>
      <c r="AB32" s="106"/>
      <c r="AC32" s="106"/>
      <c r="AD32" s="628"/>
      <c r="AE32" s="623"/>
    </row>
    <row r="33" spans="1:48" ht="15">
      <c r="A33" s="96" t="s">
        <v>119</v>
      </c>
      <c r="B33" s="106">
        <v>218000</v>
      </c>
      <c r="C33" s="106">
        <f t="shared" si="27"/>
        <v>2616000</v>
      </c>
      <c r="D33" s="106">
        <v>218390</v>
      </c>
      <c r="E33" s="106">
        <v>218570</v>
      </c>
      <c r="F33" s="106">
        <v>218390</v>
      </c>
      <c r="G33" s="106">
        <v>193390</v>
      </c>
      <c r="H33" s="106">
        <v>243390</v>
      </c>
      <c r="I33" s="106">
        <v>193490</v>
      </c>
      <c r="J33" s="106"/>
      <c r="K33" s="106"/>
      <c r="L33" s="106"/>
      <c r="M33" s="106"/>
      <c r="N33" s="106"/>
      <c r="O33" s="106"/>
      <c r="P33" s="106">
        <f t="shared" si="26"/>
        <v>1285620</v>
      </c>
      <c r="Q33" s="344">
        <f t="shared" si="12"/>
        <v>0.49144495412844036</v>
      </c>
      <c r="R33" s="346">
        <f t="shared" si="10"/>
        <v>1330380</v>
      </c>
      <c r="S33" s="395">
        <f t="shared" si="13"/>
        <v>0.50855504587155964</v>
      </c>
      <c r="T33" s="402">
        <f t="shared" si="9"/>
        <v>654000</v>
      </c>
      <c r="U33" s="109">
        <f t="shared" si="5"/>
        <v>1285620</v>
      </c>
      <c r="V33" s="403">
        <f t="shared" si="6"/>
        <v>1.9657798165137614</v>
      </c>
      <c r="W33" s="347">
        <f t="shared" si="7"/>
        <v>1</v>
      </c>
      <c r="Y33" s="106"/>
      <c r="Z33" s="347"/>
      <c r="AB33" s="106"/>
      <c r="AC33" s="106"/>
      <c r="AD33" s="628"/>
      <c r="AE33" s="623"/>
    </row>
    <row r="34" spans="1:48" ht="15">
      <c r="A34" s="96" t="s">
        <v>120</v>
      </c>
      <c r="B34" s="106">
        <v>10000</v>
      </c>
      <c r="C34" s="106">
        <f t="shared" si="27"/>
        <v>120000</v>
      </c>
      <c r="D34" s="106">
        <v>3740</v>
      </c>
      <c r="E34" s="106">
        <v>3750</v>
      </c>
      <c r="F34" s="106">
        <v>0</v>
      </c>
      <c r="G34" s="106">
        <v>3780</v>
      </c>
      <c r="H34" s="106">
        <v>7550</v>
      </c>
      <c r="I34" s="106">
        <v>3800</v>
      </c>
      <c r="J34" s="106"/>
      <c r="K34" s="106"/>
      <c r="L34" s="106"/>
      <c r="M34" s="106"/>
      <c r="N34" s="106"/>
      <c r="O34" s="106"/>
      <c r="P34" s="106">
        <f t="shared" si="26"/>
        <v>22620</v>
      </c>
      <c r="Q34" s="344">
        <f t="shared" si="12"/>
        <v>0.1885</v>
      </c>
      <c r="R34" s="346">
        <f t="shared" si="10"/>
        <v>97380</v>
      </c>
      <c r="S34" s="395">
        <f t="shared" si="13"/>
        <v>0.8115</v>
      </c>
      <c r="T34" s="415">
        <f t="shared" si="9"/>
        <v>30000</v>
      </c>
      <c r="U34" s="84">
        <f t="shared" si="5"/>
        <v>22620</v>
      </c>
      <c r="V34" s="403">
        <f t="shared" si="6"/>
        <v>0.754</v>
      </c>
      <c r="W34" s="347">
        <f t="shared" si="7"/>
        <v>1</v>
      </c>
      <c r="Y34" s="106"/>
      <c r="Z34" s="347"/>
      <c r="AB34" s="106"/>
      <c r="AC34" s="106"/>
      <c r="AD34" s="628"/>
      <c r="AE34" s="623"/>
    </row>
    <row r="35" spans="1:48" s="343" customFormat="1" ht="22.5" customHeight="1">
      <c r="A35" s="342" t="s">
        <v>121</v>
      </c>
      <c r="B35" s="337">
        <f t="shared" ref="B35:P35" si="28">SUM(B27:B34)</f>
        <v>58392000</v>
      </c>
      <c r="C35" s="337">
        <f t="shared" si="28"/>
        <v>700704000</v>
      </c>
      <c r="D35" s="337">
        <f t="shared" si="28"/>
        <v>54578965</v>
      </c>
      <c r="E35" s="337">
        <f t="shared" si="28"/>
        <v>56265026</v>
      </c>
      <c r="F35" s="337">
        <f t="shared" si="28"/>
        <v>57116954</v>
      </c>
      <c r="G35" s="337">
        <f t="shared" si="28"/>
        <v>55579497</v>
      </c>
      <c r="H35" s="337">
        <f t="shared" si="28"/>
        <v>56364904</v>
      </c>
      <c r="I35" s="337">
        <f t="shared" si="28"/>
        <v>56399260</v>
      </c>
      <c r="J35" s="337">
        <f t="shared" si="28"/>
        <v>0</v>
      </c>
      <c r="K35" s="337">
        <f t="shared" si="28"/>
        <v>0</v>
      </c>
      <c r="L35" s="337">
        <f t="shared" si="28"/>
        <v>0</v>
      </c>
      <c r="M35" s="337">
        <f t="shared" si="28"/>
        <v>0</v>
      </c>
      <c r="N35" s="337">
        <f t="shared" si="28"/>
        <v>0</v>
      </c>
      <c r="O35" s="337">
        <f t="shared" si="28"/>
        <v>0</v>
      </c>
      <c r="P35" s="337">
        <f t="shared" si="28"/>
        <v>336304606</v>
      </c>
      <c r="Q35" s="348">
        <f t="shared" si="12"/>
        <v>0.47995245638671963</v>
      </c>
      <c r="R35" s="337">
        <f>SUM(R27:R34)</f>
        <v>364399394</v>
      </c>
      <c r="S35" s="397">
        <f t="shared" si="13"/>
        <v>0.52004754361328032</v>
      </c>
      <c r="T35" s="337">
        <f>SUM(T27:T34)</f>
        <v>175176000</v>
      </c>
      <c r="U35" s="337">
        <f>SUM(U27:U34)</f>
        <v>336304606</v>
      </c>
      <c r="V35" s="412">
        <f t="shared" si="6"/>
        <v>1.9198098255468785</v>
      </c>
      <c r="W35" s="347">
        <f t="shared" si="7"/>
        <v>1</v>
      </c>
      <c r="X35"/>
      <c r="Y35" s="106"/>
      <c r="Z35" s="347"/>
      <c r="AA35"/>
      <c r="AB35" s="106"/>
      <c r="AC35" s="106"/>
      <c r="AD35" s="629"/>
      <c r="AE35" s="623"/>
    </row>
    <row r="36" spans="1:48" ht="15">
      <c r="A36" s="96" t="s">
        <v>736</v>
      </c>
      <c r="B36" s="106">
        <v>237000</v>
      </c>
      <c r="C36" s="106">
        <f t="shared" ref="C36:C59" si="29">+B36*12</f>
        <v>2844000</v>
      </c>
      <c r="D36" s="106"/>
      <c r="E36" s="106"/>
      <c r="F36" s="106"/>
      <c r="G36" s="106"/>
      <c r="H36" s="106"/>
      <c r="I36" s="106"/>
      <c r="J36" s="106"/>
      <c r="K36" s="106"/>
      <c r="L36" s="106"/>
      <c r="M36" s="106"/>
      <c r="N36" s="106"/>
      <c r="O36" s="106"/>
      <c r="P36" s="106">
        <f t="shared" ref="P36:P58" si="30">SUM(D36:O36)</f>
        <v>0</v>
      </c>
      <c r="Q36" s="344">
        <f t="shared" ref="Q36:Q58" si="31">+P36/C36</f>
        <v>0</v>
      </c>
      <c r="R36" s="346">
        <f t="shared" ref="R36:R58" si="32">+C36-P36</f>
        <v>2844000</v>
      </c>
      <c r="S36" s="395">
        <f t="shared" ref="S36:S58" si="33">+R36/C36</f>
        <v>1</v>
      </c>
      <c r="T36" s="402">
        <f t="shared" ref="T36:T58" si="34">+B36*$T$3</f>
        <v>711000</v>
      </c>
      <c r="U36" s="109">
        <f t="shared" ref="U36:U58" si="35">+P36</f>
        <v>0</v>
      </c>
      <c r="V36" s="403">
        <f t="shared" ref="V36:V58" si="36">+U36/T36</f>
        <v>0</v>
      </c>
      <c r="W36" s="347">
        <f t="shared" ref="W36:W58" si="37">+S36+Q36</f>
        <v>1</v>
      </c>
      <c r="Y36" s="106"/>
      <c r="Z36" s="347"/>
      <c r="AB36" s="106"/>
      <c r="AC36" s="106"/>
      <c r="AD36" s="628"/>
      <c r="AE36" s="623"/>
    </row>
    <row r="37" spans="1:48" ht="15">
      <c r="A37" s="96" t="s">
        <v>128</v>
      </c>
      <c r="B37" s="106">
        <v>67000</v>
      </c>
      <c r="C37" s="106">
        <f t="shared" si="29"/>
        <v>804000</v>
      </c>
      <c r="D37" s="106"/>
      <c r="E37" s="106">
        <v>190000</v>
      </c>
      <c r="F37" s="106">
        <v>190000</v>
      </c>
      <c r="G37" s="106"/>
      <c r="H37" s="106"/>
      <c r="I37" s="106"/>
      <c r="J37" s="106"/>
      <c r="K37" s="106"/>
      <c r="L37" s="106"/>
      <c r="M37" s="106"/>
      <c r="N37" s="106"/>
      <c r="O37" s="106"/>
      <c r="P37" s="106">
        <f t="shared" si="30"/>
        <v>380000</v>
      </c>
      <c r="Q37" s="344">
        <f t="shared" si="31"/>
        <v>0.47263681592039802</v>
      </c>
      <c r="R37" s="346">
        <f t="shared" si="32"/>
        <v>424000</v>
      </c>
      <c r="S37" s="395">
        <f t="shared" si="33"/>
        <v>0.52736318407960203</v>
      </c>
      <c r="T37" s="402">
        <f t="shared" si="34"/>
        <v>201000</v>
      </c>
      <c r="U37" s="109">
        <f t="shared" si="35"/>
        <v>380000</v>
      </c>
      <c r="V37" s="403">
        <f t="shared" si="36"/>
        <v>1.8905472636815921</v>
      </c>
      <c r="W37" s="347">
        <f t="shared" si="37"/>
        <v>1</v>
      </c>
      <c r="Y37" s="106"/>
      <c r="Z37" s="347"/>
      <c r="AB37" s="106"/>
      <c r="AC37" s="106"/>
      <c r="AD37" s="628"/>
      <c r="AE37" s="623"/>
    </row>
    <row r="38" spans="1:48" ht="15">
      <c r="A38" s="96" t="s">
        <v>184</v>
      </c>
      <c r="B38" s="106">
        <v>416667</v>
      </c>
      <c r="C38" s="106">
        <f t="shared" si="29"/>
        <v>5000004</v>
      </c>
      <c r="D38" s="106">
        <v>1080000</v>
      </c>
      <c r="E38" s="106">
        <v>125000</v>
      </c>
      <c r="F38" s="106">
        <v>2035100</v>
      </c>
      <c r="G38" s="106"/>
      <c r="H38" s="106">
        <v>45000</v>
      </c>
      <c r="I38" s="106">
        <v>610000</v>
      </c>
      <c r="J38" s="106"/>
      <c r="K38" s="106"/>
      <c r="L38" s="106"/>
      <c r="M38" s="106"/>
      <c r="N38" s="106"/>
      <c r="O38" s="106"/>
      <c r="P38" s="106">
        <f t="shared" si="30"/>
        <v>3895100</v>
      </c>
      <c r="Q38" s="344">
        <f t="shared" si="31"/>
        <v>0.77901937678449862</v>
      </c>
      <c r="R38" s="346">
        <f t="shared" si="32"/>
        <v>1104904</v>
      </c>
      <c r="S38" s="395">
        <f t="shared" si="33"/>
        <v>0.22098062321550144</v>
      </c>
      <c r="T38" s="402">
        <f t="shared" si="34"/>
        <v>1250001</v>
      </c>
      <c r="U38" s="109">
        <f t="shared" si="35"/>
        <v>3895100</v>
      </c>
      <c r="V38" s="403">
        <f t="shared" si="36"/>
        <v>3.1160775071379945</v>
      </c>
      <c r="W38" s="347">
        <f t="shared" si="37"/>
        <v>1</v>
      </c>
      <c r="Y38" s="106"/>
      <c r="Z38" s="347"/>
      <c r="AB38" s="106"/>
      <c r="AC38" s="106"/>
      <c r="AD38" s="628"/>
      <c r="AE38" s="623"/>
    </row>
    <row r="39" spans="1:48" ht="15">
      <c r="A39" s="96" t="s">
        <v>132</v>
      </c>
      <c r="B39" s="106">
        <v>400000</v>
      </c>
      <c r="C39" s="106">
        <f t="shared" si="29"/>
        <v>4800000</v>
      </c>
      <c r="D39" s="106">
        <v>335977</v>
      </c>
      <c r="E39" s="106">
        <v>0</v>
      </c>
      <c r="F39" s="106">
        <v>120000</v>
      </c>
      <c r="G39" s="106">
        <v>218498</v>
      </c>
      <c r="H39" s="106">
        <v>765850</v>
      </c>
      <c r="I39" s="106">
        <v>561422</v>
      </c>
      <c r="J39" s="106"/>
      <c r="K39" s="106"/>
      <c r="L39" s="106"/>
      <c r="M39" s="106"/>
      <c r="N39" s="106"/>
      <c r="O39" s="106"/>
      <c r="P39" s="106">
        <f t="shared" si="30"/>
        <v>2001747</v>
      </c>
      <c r="Q39" s="344">
        <f t="shared" si="31"/>
        <v>0.41703062499999999</v>
      </c>
      <c r="R39" s="346">
        <f t="shared" si="32"/>
        <v>2798253</v>
      </c>
      <c r="S39" s="395">
        <f t="shared" si="33"/>
        <v>0.58296937500000001</v>
      </c>
      <c r="T39" s="402">
        <f t="shared" si="34"/>
        <v>1200000</v>
      </c>
      <c r="U39" s="109">
        <f t="shared" si="35"/>
        <v>2001747</v>
      </c>
      <c r="V39" s="403">
        <f t="shared" si="36"/>
        <v>1.6681225</v>
      </c>
      <c r="W39" s="347">
        <f t="shared" si="37"/>
        <v>1</v>
      </c>
      <c r="Y39" s="106"/>
      <c r="Z39" s="347"/>
      <c r="AB39" s="106"/>
      <c r="AC39" s="106"/>
      <c r="AD39" s="628"/>
      <c r="AE39" s="623"/>
    </row>
    <row r="40" spans="1:48" ht="15">
      <c r="A40" s="96" t="s">
        <v>1029</v>
      </c>
      <c r="B40" s="106">
        <v>310000</v>
      </c>
      <c r="C40" s="106">
        <f t="shared" si="29"/>
        <v>3720000</v>
      </c>
      <c r="D40" s="106"/>
      <c r="E40" s="106"/>
      <c r="F40" s="106"/>
      <c r="G40" s="106"/>
      <c r="H40" s="106">
        <v>250000</v>
      </c>
      <c r="I40" s="106"/>
      <c r="J40" s="106"/>
      <c r="K40" s="106"/>
      <c r="L40" s="106"/>
      <c r="M40" s="106"/>
      <c r="N40" s="106"/>
      <c r="O40" s="106"/>
      <c r="P40" s="106">
        <f t="shared" si="30"/>
        <v>250000</v>
      </c>
      <c r="Q40" s="344">
        <f t="shared" si="31"/>
        <v>6.7204301075268813E-2</v>
      </c>
      <c r="R40" s="346">
        <f t="shared" si="32"/>
        <v>3470000</v>
      </c>
      <c r="S40" s="395">
        <f t="shared" si="33"/>
        <v>0.93279569892473113</v>
      </c>
      <c r="T40" s="402">
        <f t="shared" si="34"/>
        <v>930000</v>
      </c>
      <c r="U40" s="109">
        <f t="shared" si="35"/>
        <v>250000</v>
      </c>
      <c r="V40" s="403">
        <f t="shared" si="36"/>
        <v>0.26881720430107525</v>
      </c>
      <c r="W40" s="347">
        <f t="shared" si="37"/>
        <v>1</v>
      </c>
      <c r="Y40" s="106"/>
      <c r="Z40" s="347"/>
      <c r="AB40" s="106"/>
      <c r="AC40" s="106"/>
      <c r="AD40" s="628"/>
      <c r="AE40" s="623"/>
    </row>
    <row r="41" spans="1:48" ht="15">
      <c r="A41" s="96" t="s">
        <v>46</v>
      </c>
      <c r="B41" s="106">
        <v>2550000</v>
      </c>
      <c r="C41" s="106">
        <f t="shared" si="29"/>
        <v>30600000</v>
      </c>
      <c r="D41" s="106">
        <v>2499000</v>
      </c>
      <c r="E41" s="106">
        <v>2499000</v>
      </c>
      <c r="F41" s="106">
        <v>2499000</v>
      </c>
      <c r="G41" s="106">
        <v>2499000</v>
      </c>
      <c r="H41" s="106">
        <v>2499000</v>
      </c>
      <c r="I41" s="106">
        <v>2499000</v>
      </c>
      <c r="J41" s="106"/>
      <c r="K41" s="106"/>
      <c r="L41" s="106"/>
      <c r="M41" s="106"/>
      <c r="N41" s="106"/>
      <c r="O41" s="106"/>
      <c r="P41" s="106">
        <f t="shared" si="30"/>
        <v>14994000</v>
      </c>
      <c r="Q41" s="344">
        <f t="shared" si="31"/>
        <v>0.49</v>
      </c>
      <c r="R41" s="346">
        <f t="shared" si="32"/>
        <v>15606000</v>
      </c>
      <c r="S41" s="395">
        <f t="shared" si="33"/>
        <v>0.51</v>
      </c>
      <c r="T41" s="402">
        <f t="shared" si="34"/>
        <v>7650000</v>
      </c>
      <c r="U41" s="109">
        <f t="shared" si="35"/>
        <v>14994000</v>
      </c>
      <c r="V41" s="403">
        <f t="shared" si="36"/>
        <v>1.96</v>
      </c>
      <c r="W41" s="347">
        <f t="shared" si="37"/>
        <v>1</v>
      </c>
      <c r="Y41" s="106"/>
      <c r="Z41" s="347"/>
      <c r="AB41" s="106"/>
      <c r="AC41" s="106"/>
      <c r="AD41" s="628"/>
      <c r="AE41" s="623"/>
    </row>
    <row r="42" spans="1:48" s="481" customFormat="1" ht="15">
      <c r="A42" s="96" t="s">
        <v>127</v>
      </c>
      <c r="B42" s="106">
        <v>168000</v>
      </c>
      <c r="C42" s="106">
        <f t="shared" si="29"/>
        <v>2016000</v>
      </c>
      <c r="D42" s="106"/>
      <c r="E42" s="106">
        <v>60000</v>
      </c>
      <c r="F42" s="106"/>
      <c r="G42" s="106">
        <v>240000</v>
      </c>
      <c r="H42" s="106">
        <v>225000</v>
      </c>
      <c r="I42" s="106"/>
      <c r="J42" s="106"/>
      <c r="K42" s="106"/>
      <c r="L42" s="106"/>
      <c r="M42" s="106"/>
      <c r="N42" s="106"/>
      <c r="O42" s="106"/>
      <c r="P42" s="106">
        <f t="shared" si="30"/>
        <v>525000</v>
      </c>
      <c r="Q42" s="344">
        <f t="shared" si="31"/>
        <v>0.26041666666666669</v>
      </c>
      <c r="R42" s="346">
        <f t="shared" si="32"/>
        <v>1491000</v>
      </c>
      <c r="S42" s="395">
        <f t="shared" si="33"/>
        <v>0.73958333333333337</v>
      </c>
      <c r="T42" s="402">
        <f t="shared" si="34"/>
        <v>504000</v>
      </c>
      <c r="U42" s="109">
        <f t="shared" si="35"/>
        <v>525000</v>
      </c>
      <c r="V42" s="403">
        <f t="shared" si="36"/>
        <v>1.0416666666666667</v>
      </c>
      <c r="W42" s="347">
        <f t="shared" si="37"/>
        <v>1</v>
      </c>
      <c r="X42"/>
      <c r="Y42" s="106"/>
      <c r="Z42" s="347"/>
      <c r="AA42"/>
      <c r="AB42" s="106"/>
      <c r="AC42" s="106"/>
      <c r="AD42" s="628"/>
      <c r="AE42" s="623"/>
      <c r="AF42"/>
      <c r="AG42"/>
      <c r="AH42"/>
      <c r="AI42"/>
      <c r="AJ42"/>
      <c r="AK42"/>
      <c r="AL42"/>
      <c r="AM42"/>
      <c r="AN42"/>
      <c r="AO42"/>
      <c r="AP42"/>
      <c r="AQ42"/>
      <c r="AR42"/>
      <c r="AS42"/>
      <c r="AT42"/>
      <c r="AU42"/>
      <c r="AV42"/>
    </row>
    <row r="43" spans="1:48" ht="15">
      <c r="A43" s="96" t="s">
        <v>125</v>
      </c>
      <c r="B43" s="106">
        <v>25000</v>
      </c>
      <c r="C43" s="106">
        <f t="shared" si="29"/>
        <v>300000</v>
      </c>
      <c r="D43" s="106"/>
      <c r="E43" s="106"/>
      <c r="F43" s="106"/>
      <c r="G43" s="106"/>
      <c r="H43" s="106"/>
      <c r="I43" s="106"/>
      <c r="J43" s="106"/>
      <c r="K43" s="106"/>
      <c r="L43" s="106"/>
      <c r="M43" s="106"/>
      <c r="N43" s="106"/>
      <c r="O43" s="106"/>
      <c r="P43" s="106">
        <f t="shared" si="30"/>
        <v>0</v>
      </c>
      <c r="Q43" s="344">
        <f t="shared" si="31"/>
        <v>0</v>
      </c>
      <c r="R43" s="346">
        <f t="shared" si="32"/>
        <v>300000</v>
      </c>
      <c r="S43" s="395">
        <f t="shared" si="33"/>
        <v>1</v>
      </c>
      <c r="T43" s="402">
        <f t="shared" si="34"/>
        <v>75000</v>
      </c>
      <c r="U43" s="109">
        <f t="shared" si="35"/>
        <v>0</v>
      </c>
      <c r="V43" s="403">
        <f t="shared" si="36"/>
        <v>0</v>
      </c>
      <c r="W43" s="347">
        <f t="shared" si="37"/>
        <v>1</v>
      </c>
      <c r="Y43" s="106"/>
      <c r="Z43" s="347"/>
      <c r="AB43" s="106"/>
      <c r="AC43" s="106"/>
      <c r="AD43" s="628"/>
      <c r="AE43" s="623"/>
    </row>
    <row r="44" spans="1:48" ht="15">
      <c r="A44" s="96" t="s">
        <v>738</v>
      </c>
      <c r="B44" s="106">
        <v>71000</v>
      </c>
      <c r="C44" s="106">
        <f t="shared" si="29"/>
        <v>852000</v>
      </c>
      <c r="D44" s="106"/>
      <c r="E44" s="106"/>
      <c r="F44" s="106"/>
      <c r="G44" s="106"/>
      <c r="H44" s="106">
        <v>885000</v>
      </c>
      <c r="I44" s="106">
        <v>280000</v>
      </c>
      <c r="J44" s="106"/>
      <c r="K44" s="106"/>
      <c r="L44" s="106"/>
      <c r="M44" s="106"/>
      <c r="N44" s="106"/>
      <c r="O44" s="106"/>
      <c r="P44" s="106">
        <f t="shared" si="30"/>
        <v>1165000</v>
      </c>
      <c r="Q44" s="344">
        <f t="shared" si="31"/>
        <v>1.3673708920187793</v>
      </c>
      <c r="R44" s="346">
        <f t="shared" si="32"/>
        <v>-313000</v>
      </c>
      <c r="S44" s="395">
        <f t="shared" si="33"/>
        <v>-0.36737089201877932</v>
      </c>
      <c r="T44" s="402">
        <f t="shared" si="34"/>
        <v>213000</v>
      </c>
      <c r="U44" s="109">
        <f t="shared" si="35"/>
        <v>1165000</v>
      </c>
      <c r="V44" s="403">
        <f t="shared" si="36"/>
        <v>5.469483568075117</v>
      </c>
      <c r="W44" s="347">
        <f t="shared" si="37"/>
        <v>1</v>
      </c>
      <c r="Y44" s="106"/>
      <c r="Z44" s="347"/>
      <c r="AB44" s="106"/>
      <c r="AC44" s="106"/>
      <c r="AD44" s="628"/>
      <c r="AE44" s="623"/>
    </row>
    <row r="45" spans="1:48" ht="15">
      <c r="A45" s="96" t="s">
        <v>181</v>
      </c>
      <c r="B45" s="106">
        <v>220000</v>
      </c>
      <c r="C45" s="106">
        <f t="shared" si="29"/>
        <v>2640000</v>
      </c>
      <c r="D45" s="106">
        <v>49000</v>
      </c>
      <c r="E45" s="106"/>
      <c r="F45" s="106"/>
      <c r="G45" s="106"/>
      <c r="H45" s="106"/>
      <c r="I45" s="106"/>
      <c r="J45" s="106"/>
      <c r="K45" s="106"/>
      <c r="L45" s="106"/>
      <c r="M45" s="106"/>
      <c r="N45" s="106"/>
      <c r="O45" s="106"/>
      <c r="P45" s="106">
        <f t="shared" si="30"/>
        <v>49000</v>
      </c>
      <c r="Q45" s="344">
        <f t="shared" si="31"/>
        <v>1.8560606060606062E-2</v>
      </c>
      <c r="R45" s="346">
        <f t="shared" si="32"/>
        <v>2591000</v>
      </c>
      <c r="S45" s="395">
        <f t="shared" si="33"/>
        <v>0.98143939393939394</v>
      </c>
      <c r="T45" s="402">
        <f t="shared" si="34"/>
        <v>660000</v>
      </c>
      <c r="U45" s="109">
        <f t="shared" si="35"/>
        <v>49000</v>
      </c>
      <c r="V45" s="403">
        <f t="shared" si="36"/>
        <v>7.4242424242424249E-2</v>
      </c>
      <c r="W45" s="347">
        <f t="shared" si="37"/>
        <v>1</v>
      </c>
      <c r="Y45" s="106"/>
      <c r="Z45" s="347"/>
      <c r="AB45" s="106"/>
      <c r="AC45" s="106"/>
      <c r="AD45" s="628"/>
      <c r="AE45" s="623"/>
    </row>
    <row r="46" spans="1:48" ht="15">
      <c r="A46" s="96" t="s">
        <v>150</v>
      </c>
      <c r="B46" s="106">
        <v>250000</v>
      </c>
      <c r="C46" s="106">
        <f t="shared" si="29"/>
        <v>3000000</v>
      </c>
      <c r="D46" s="106"/>
      <c r="E46" s="106"/>
      <c r="F46" s="106"/>
      <c r="G46" s="106"/>
      <c r="H46" s="106"/>
      <c r="I46" s="106"/>
      <c r="J46" s="106"/>
      <c r="K46" s="106"/>
      <c r="L46" s="106"/>
      <c r="M46" s="106"/>
      <c r="N46" s="106"/>
      <c r="O46" s="106"/>
      <c r="P46" s="106">
        <f t="shared" si="30"/>
        <v>0</v>
      </c>
      <c r="Q46" s="344">
        <f t="shared" si="31"/>
        <v>0</v>
      </c>
      <c r="R46" s="346">
        <f t="shared" si="32"/>
        <v>3000000</v>
      </c>
      <c r="S46" s="395">
        <f t="shared" si="33"/>
        <v>1</v>
      </c>
      <c r="T46" s="402">
        <f t="shared" si="34"/>
        <v>750000</v>
      </c>
      <c r="U46" s="109">
        <f t="shared" si="35"/>
        <v>0</v>
      </c>
      <c r="V46" s="403">
        <f t="shared" si="36"/>
        <v>0</v>
      </c>
      <c r="W46" s="347">
        <f t="shared" si="37"/>
        <v>1</v>
      </c>
      <c r="Y46" s="106"/>
      <c r="Z46" s="347"/>
      <c r="AB46" s="106"/>
      <c r="AC46" s="106"/>
      <c r="AD46" s="628"/>
      <c r="AE46" s="623"/>
    </row>
    <row r="47" spans="1:48" ht="15">
      <c r="A47" s="96" t="s">
        <v>45</v>
      </c>
      <c r="B47" s="106">
        <v>250000</v>
      </c>
      <c r="C47" s="106">
        <f t="shared" si="29"/>
        <v>3000000</v>
      </c>
      <c r="D47" s="106">
        <v>512664</v>
      </c>
      <c r="E47" s="106">
        <v>345000</v>
      </c>
      <c r="F47" s="106"/>
      <c r="G47" s="106">
        <v>362664</v>
      </c>
      <c r="H47" s="106"/>
      <c r="I47" s="106">
        <v>953003</v>
      </c>
      <c r="J47" s="106"/>
      <c r="K47" s="106"/>
      <c r="L47" s="106"/>
      <c r="M47" s="106"/>
      <c r="N47" s="106"/>
      <c r="O47" s="106"/>
      <c r="P47" s="106">
        <f t="shared" si="30"/>
        <v>2173331</v>
      </c>
      <c r="Q47" s="344">
        <f t="shared" si="31"/>
        <v>0.72444366666666671</v>
      </c>
      <c r="R47" s="346">
        <f t="shared" si="32"/>
        <v>826669</v>
      </c>
      <c r="S47" s="395">
        <f t="shared" si="33"/>
        <v>0.27555633333333335</v>
      </c>
      <c r="T47" s="402">
        <f t="shared" si="34"/>
        <v>750000</v>
      </c>
      <c r="U47" s="109">
        <f t="shared" si="35"/>
        <v>2173331</v>
      </c>
      <c r="V47" s="403">
        <f t="shared" si="36"/>
        <v>2.8977746666666668</v>
      </c>
      <c r="W47" s="347">
        <f t="shared" si="37"/>
        <v>1</v>
      </c>
      <c r="Y47" s="106"/>
      <c r="Z47" s="347"/>
      <c r="AB47" s="106"/>
      <c r="AC47" s="106"/>
      <c r="AD47" s="628"/>
      <c r="AE47" s="623"/>
    </row>
    <row r="48" spans="1:48" ht="15">
      <c r="A48" s="96" t="s">
        <v>452</v>
      </c>
      <c r="B48" s="106">
        <v>280000</v>
      </c>
      <c r="C48" s="106">
        <f t="shared" si="29"/>
        <v>3360000</v>
      </c>
      <c r="D48" s="106">
        <v>280000</v>
      </c>
      <c r="E48" s="106">
        <v>280000</v>
      </c>
      <c r="F48" s="106">
        <v>280000</v>
      </c>
      <c r="G48" s="106">
        <v>280000</v>
      </c>
      <c r="H48" s="106">
        <v>280000</v>
      </c>
      <c r="I48" s="106">
        <v>280000</v>
      </c>
      <c r="J48" s="106"/>
      <c r="K48" s="106"/>
      <c r="L48" s="106"/>
      <c r="M48" s="106"/>
      <c r="N48" s="106"/>
      <c r="O48" s="106"/>
      <c r="P48" s="106">
        <f t="shared" si="30"/>
        <v>1680000</v>
      </c>
      <c r="Q48" s="344">
        <f t="shared" si="31"/>
        <v>0.5</v>
      </c>
      <c r="R48" s="346">
        <f t="shared" si="32"/>
        <v>1680000</v>
      </c>
      <c r="S48" s="395">
        <f t="shared" si="33"/>
        <v>0.5</v>
      </c>
      <c r="T48" s="402">
        <f t="shared" si="34"/>
        <v>840000</v>
      </c>
      <c r="U48" s="109">
        <f t="shared" si="35"/>
        <v>1680000</v>
      </c>
      <c r="V48" s="403">
        <f t="shared" si="36"/>
        <v>2</v>
      </c>
      <c r="W48" s="347">
        <f t="shared" si="37"/>
        <v>1</v>
      </c>
      <c r="Y48" s="106"/>
      <c r="Z48" s="347"/>
      <c r="AB48" s="106"/>
      <c r="AC48" s="106"/>
      <c r="AD48" s="628"/>
      <c r="AE48" s="623"/>
    </row>
    <row r="49" spans="1:33" ht="15">
      <c r="A49" s="96" t="s">
        <v>737</v>
      </c>
      <c r="B49" s="106">
        <v>225000</v>
      </c>
      <c r="C49" s="106">
        <f t="shared" si="29"/>
        <v>2700000</v>
      </c>
      <c r="D49" s="106"/>
      <c r="E49" s="106">
        <v>595000</v>
      </c>
      <c r="F49" s="106"/>
      <c r="G49" s="106"/>
      <c r="H49" s="106"/>
      <c r="I49" s="106"/>
      <c r="J49" s="106"/>
      <c r="K49" s="106"/>
      <c r="L49" s="106"/>
      <c r="M49" s="106"/>
      <c r="N49" s="106"/>
      <c r="O49" s="106"/>
      <c r="P49" s="106">
        <f t="shared" si="30"/>
        <v>595000</v>
      </c>
      <c r="Q49" s="344">
        <f t="shared" si="31"/>
        <v>0.22037037037037038</v>
      </c>
      <c r="R49" s="346">
        <f t="shared" si="32"/>
        <v>2105000</v>
      </c>
      <c r="S49" s="395">
        <f t="shared" si="33"/>
        <v>0.77962962962962967</v>
      </c>
      <c r="T49" s="402">
        <f t="shared" si="34"/>
        <v>675000</v>
      </c>
      <c r="U49" s="109">
        <f t="shared" si="35"/>
        <v>595000</v>
      </c>
      <c r="V49" s="403">
        <f t="shared" si="36"/>
        <v>0.88148148148148153</v>
      </c>
      <c r="W49" s="347">
        <f t="shared" si="37"/>
        <v>1</v>
      </c>
      <c r="Y49" s="106"/>
      <c r="Z49" s="347"/>
      <c r="AB49" s="106"/>
      <c r="AC49" s="106"/>
      <c r="AD49" s="628"/>
      <c r="AE49" s="623"/>
    </row>
    <row r="50" spans="1:33" ht="15">
      <c r="A50" s="96" t="s">
        <v>130</v>
      </c>
      <c r="B50" s="106">
        <v>84000</v>
      </c>
      <c r="C50" s="106">
        <f t="shared" si="29"/>
        <v>1008000</v>
      </c>
      <c r="D50" s="106"/>
      <c r="E50" s="106">
        <v>52900</v>
      </c>
      <c r="F50" s="106">
        <v>160000</v>
      </c>
      <c r="G50" s="106"/>
      <c r="H50" s="106"/>
      <c r="I50" s="106"/>
      <c r="J50" s="106"/>
      <c r="K50" s="106"/>
      <c r="L50" s="106"/>
      <c r="M50" s="106"/>
      <c r="N50" s="106"/>
      <c r="O50" s="106"/>
      <c r="P50" s="106">
        <f t="shared" si="30"/>
        <v>212900</v>
      </c>
      <c r="Q50" s="344">
        <f t="shared" si="31"/>
        <v>0.21121031746031746</v>
      </c>
      <c r="R50" s="346">
        <f t="shared" si="32"/>
        <v>795100</v>
      </c>
      <c r="S50" s="395">
        <f t="shared" si="33"/>
        <v>0.78878968253968251</v>
      </c>
      <c r="T50" s="402">
        <f t="shared" si="34"/>
        <v>252000</v>
      </c>
      <c r="U50" s="109">
        <f t="shared" si="35"/>
        <v>212900</v>
      </c>
      <c r="V50" s="403">
        <f t="shared" si="36"/>
        <v>0.84484126984126984</v>
      </c>
      <c r="W50" s="347">
        <f t="shared" si="37"/>
        <v>1</v>
      </c>
      <c r="Y50" s="106"/>
      <c r="Z50" s="347"/>
      <c r="AB50" s="106"/>
      <c r="AC50" s="106"/>
      <c r="AD50" s="628"/>
      <c r="AE50" s="623"/>
    </row>
    <row r="51" spans="1:33" ht="15">
      <c r="A51" s="96" t="s">
        <v>743</v>
      </c>
      <c r="B51" s="106">
        <v>460000</v>
      </c>
      <c r="C51" s="106">
        <f t="shared" si="29"/>
        <v>5520000</v>
      </c>
      <c r="D51" s="106">
        <v>114660</v>
      </c>
      <c r="E51" s="106">
        <v>128000</v>
      </c>
      <c r="F51" s="106">
        <f>332500+1800000</f>
        <v>2132500</v>
      </c>
      <c r="G51" s="106">
        <v>191000</v>
      </c>
      <c r="H51" s="106"/>
      <c r="I51" s="106">
        <v>403200</v>
      </c>
      <c r="J51" s="106"/>
      <c r="K51" s="106"/>
      <c r="L51" s="106"/>
      <c r="M51" s="106"/>
      <c r="N51" s="106"/>
      <c r="O51" s="106"/>
      <c r="P51" s="106">
        <f t="shared" si="30"/>
        <v>2969360</v>
      </c>
      <c r="Q51" s="344">
        <f t="shared" si="31"/>
        <v>0.53792753623188405</v>
      </c>
      <c r="R51" s="346">
        <f t="shared" si="32"/>
        <v>2550640</v>
      </c>
      <c r="S51" s="395">
        <f t="shared" si="33"/>
        <v>0.46207246376811595</v>
      </c>
      <c r="T51" s="402">
        <f>+B51*$T$3</f>
        <v>1380000</v>
      </c>
      <c r="U51" s="109">
        <f>+P51</f>
        <v>2969360</v>
      </c>
      <c r="V51" s="403">
        <f>+U51/T51</f>
        <v>2.1517101449275362</v>
      </c>
      <c r="W51" s="347">
        <f>+S51+Q51</f>
        <v>1</v>
      </c>
      <c r="Y51" s="106"/>
      <c r="Z51" s="347"/>
      <c r="AB51" s="106"/>
      <c r="AC51" s="106"/>
      <c r="AD51" s="628"/>
      <c r="AE51" s="623"/>
      <c r="AG51" s="49"/>
    </row>
    <row r="52" spans="1:33" ht="15">
      <c r="A52" s="96" t="s">
        <v>744</v>
      </c>
      <c r="B52" s="106">
        <v>340000</v>
      </c>
      <c r="C52" s="106">
        <f t="shared" si="29"/>
        <v>4080000</v>
      </c>
      <c r="D52" s="106"/>
      <c r="E52" s="106"/>
      <c r="F52" s="106"/>
      <c r="G52" s="106"/>
      <c r="H52" s="106"/>
      <c r="I52" s="106"/>
      <c r="J52" s="106"/>
      <c r="K52" s="106"/>
      <c r="L52" s="106"/>
      <c r="M52" s="106"/>
      <c r="N52" s="106"/>
      <c r="O52" s="106"/>
      <c r="P52" s="106">
        <f t="shared" si="30"/>
        <v>0</v>
      </c>
      <c r="Q52" s="344">
        <f t="shared" si="31"/>
        <v>0</v>
      </c>
      <c r="R52" s="346">
        <f t="shared" si="32"/>
        <v>4080000</v>
      </c>
      <c r="S52" s="395">
        <f t="shared" si="33"/>
        <v>1</v>
      </c>
      <c r="T52" s="402">
        <f t="shared" si="34"/>
        <v>1020000</v>
      </c>
      <c r="U52" s="109">
        <f t="shared" si="35"/>
        <v>0</v>
      </c>
      <c r="V52" s="403">
        <f t="shared" si="36"/>
        <v>0</v>
      </c>
      <c r="W52" s="347">
        <f t="shared" si="37"/>
        <v>1</v>
      </c>
      <c r="Y52" s="106"/>
      <c r="Z52" s="347"/>
      <c r="AB52" s="106"/>
      <c r="AC52" s="106"/>
      <c r="AD52" s="628"/>
      <c r="AE52" s="623"/>
    </row>
    <row r="53" spans="1:33" ht="15">
      <c r="A53" s="96" t="s">
        <v>129</v>
      </c>
      <c r="B53" s="106">
        <v>200000</v>
      </c>
      <c r="C53" s="106">
        <f t="shared" si="29"/>
        <v>2400000</v>
      </c>
      <c r="D53" s="106"/>
      <c r="E53" s="106"/>
      <c r="F53" s="106">
        <v>166600</v>
      </c>
      <c r="G53" s="106"/>
      <c r="H53" s="106">
        <v>565000</v>
      </c>
      <c r="I53" s="106"/>
      <c r="J53" s="106"/>
      <c r="K53" s="106"/>
      <c r="L53" s="106"/>
      <c r="M53" s="106"/>
      <c r="N53" s="106"/>
      <c r="O53" s="106"/>
      <c r="P53" s="106">
        <f t="shared" si="30"/>
        <v>731600</v>
      </c>
      <c r="Q53" s="344">
        <f t="shared" si="31"/>
        <v>0.30483333333333335</v>
      </c>
      <c r="R53" s="346">
        <f t="shared" si="32"/>
        <v>1668400</v>
      </c>
      <c r="S53" s="395">
        <f t="shared" si="33"/>
        <v>0.69516666666666671</v>
      </c>
      <c r="T53" s="402">
        <f t="shared" si="34"/>
        <v>600000</v>
      </c>
      <c r="U53" s="109">
        <f t="shared" si="35"/>
        <v>731600</v>
      </c>
      <c r="V53" s="403">
        <f t="shared" si="36"/>
        <v>1.2193333333333334</v>
      </c>
      <c r="W53" s="347">
        <f t="shared" si="37"/>
        <v>1</v>
      </c>
      <c r="Y53" s="106"/>
      <c r="Z53" s="347"/>
      <c r="AB53" s="106"/>
      <c r="AC53" s="106"/>
      <c r="AD53" s="628"/>
      <c r="AE53" s="623"/>
    </row>
    <row r="54" spans="1:33" ht="15">
      <c r="A54" s="96" t="s">
        <v>183</v>
      </c>
      <c r="B54" s="106">
        <v>125000</v>
      </c>
      <c r="C54" s="106">
        <f t="shared" si="29"/>
        <v>1500000</v>
      </c>
      <c r="D54" s="106">
        <v>230000</v>
      </c>
      <c r="E54" s="106"/>
      <c r="F54" s="106"/>
      <c r="G54" s="106"/>
      <c r="H54" s="106">
        <v>450000</v>
      </c>
      <c r="I54" s="106"/>
      <c r="J54" s="106"/>
      <c r="K54" s="106"/>
      <c r="L54" s="106"/>
      <c r="M54" s="106"/>
      <c r="N54" s="106"/>
      <c r="O54" s="106"/>
      <c r="P54" s="106">
        <f t="shared" si="30"/>
        <v>680000</v>
      </c>
      <c r="Q54" s="344">
        <f t="shared" si="31"/>
        <v>0.45333333333333331</v>
      </c>
      <c r="R54" s="346">
        <f t="shared" si="32"/>
        <v>820000</v>
      </c>
      <c r="S54" s="395">
        <f t="shared" si="33"/>
        <v>0.54666666666666663</v>
      </c>
      <c r="T54" s="402">
        <f t="shared" si="34"/>
        <v>375000</v>
      </c>
      <c r="U54" s="109">
        <f t="shared" si="35"/>
        <v>680000</v>
      </c>
      <c r="V54" s="403">
        <f t="shared" si="36"/>
        <v>1.8133333333333332</v>
      </c>
      <c r="W54" s="347">
        <f t="shared" si="37"/>
        <v>1</v>
      </c>
      <c r="Y54" s="106"/>
      <c r="Z54" s="347"/>
      <c r="AB54" s="106"/>
      <c r="AC54" s="106"/>
      <c r="AD54" s="628"/>
      <c r="AE54" s="623"/>
    </row>
    <row r="55" spans="1:33" ht="15">
      <c r="A55" s="96" t="s">
        <v>123</v>
      </c>
      <c r="B55" s="106">
        <v>350000</v>
      </c>
      <c r="C55" s="106">
        <f t="shared" si="29"/>
        <v>4200000</v>
      </c>
      <c r="D55" s="106"/>
      <c r="E55" s="106"/>
      <c r="F55" s="106">
        <v>1199000</v>
      </c>
      <c r="G55" s="106"/>
      <c r="H55" s="106"/>
      <c r="I55" s="106"/>
      <c r="J55" s="106"/>
      <c r="K55" s="106"/>
      <c r="L55" s="106"/>
      <c r="M55" s="106"/>
      <c r="N55" s="106"/>
      <c r="O55" s="106"/>
      <c r="P55" s="106">
        <f t="shared" si="30"/>
        <v>1199000</v>
      </c>
      <c r="Q55" s="344">
        <f t="shared" si="31"/>
        <v>0.28547619047619049</v>
      </c>
      <c r="R55" s="346">
        <f t="shared" si="32"/>
        <v>3001000</v>
      </c>
      <c r="S55" s="395">
        <f t="shared" si="33"/>
        <v>0.71452380952380956</v>
      </c>
      <c r="T55" s="402">
        <f t="shared" si="34"/>
        <v>1050000</v>
      </c>
      <c r="U55" s="109">
        <f t="shared" si="35"/>
        <v>1199000</v>
      </c>
      <c r="V55" s="403">
        <f t="shared" si="36"/>
        <v>1.141904761904762</v>
      </c>
      <c r="W55" s="347">
        <f t="shared" si="37"/>
        <v>1</v>
      </c>
      <c r="Y55" s="106"/>
      <c r="Z55" s="347"/>
      <c r="AB55" s="106"/>
      <c r="AC55" s="106"/>
      <c r="AD55" s="628"/>
      <c r="AE55" s="623"/>
    </row>
    <row r="56" spans="1:33" ht="15">
      <c r="A56" s="96" t="s">
        <v>133</v>
      </c>
      <c r="B56" s="106">
        <v>1288867</v>
      </c>
      <c r="C56" s="106">
        <f t="shared" si="29"/>
        <v>15466404</v>
      </c>
      <c r="D56" s="106">
        <v>977940</v>
      </c>
      <c r="E56" s="106">
        <v>2156457</v>
      </c>
      <c r="F56" s="106">
        <v>2521400</v>
      </c>
      <c r="G56" s="106">
        <v>336000</v>
      </c>
      <c r="H56" s="106">
        <v>319100</v>
      </c>
      <c r="I56" s="106">
        <v>323100</v>
      </c>
      <c r="J56" s="106"/>
      <c r="K56" s="106"/>
      <c r="L56" s="106"/>
      <c r="M56" s="106"/>
      <c r="N56" s="106"/>
      <c r="O56" s="106"/>
      <c r="P56" s="106">
        <f t="shared" si="30"/>
        <v>6633997</v>
      </c>
      <c r="Q56" s="344">
        <f t="shared" si="31"/>
        <v>0.42892950423382192</v>
      </c>
      <c r="R56" s="346">
        <f t="shared" si="32"/>
        <v>8832407</v>
      </c>
      <c r="S56" s="395">
        <f t="shared" si="33"/>
        <v>0.57107049576617808</v>
      </c>
      <c r="T56" s="402">
        <f t="shared" si="34"/>
        <v>3866601</v>
      </c>
      <c r="U56" s="109">
        <f t="shared" si="35"/>
        <v>6633997</v>
      </c>
      <c r="V56" s="403">
        <f t="shared" si="36"/>
        <v>1.7157180169352877</v>
      </c>
      <c r="W56" s="347">
        <f t="shared" si="37"/>
        <v>1</v>
      </c>
      <c r="Y56" s="106"/>
      <c r="Z56" s="347"/>
      <c r="AB56" s="106"/>
      <c r="AC56" s="106"/>
      <c r="AD56" s="628"/>
      <c r="AE56" s="623"/>
      <c r="AF56" s="49">
        <f>+AE56+AE42</f>
        <v>0</v>
      </c>
    </row>
    <row r="57" spans="1:33" ht="15">
      <c r="A57" s="96" t="s">
        <v>122</v>
      </c>
      <c r="B57" s="106">
        <v>100000</v>
      </c>
      <c r="C57" s="106">
        <f t="shared" si="29"/>
        <v>1200000</v>
      </c>
      <c r="D57" s="106">
        <v>565000</v>
      </c>
      <c r="E57" s="106">
        <v>588000</v>
      </c>
      <c r="F57" s="106">
        <v>310000</v>
      </c>
      <c r="G57" s="106"/>
      <c r="H57" s="106">
        <v>416000</v>
      </c>
      <c r="I57" s="106"/>
      <c r="J57" s="106"/>
      <c r="K57" s="106"/>
      <c r="L57" s="106"/>
      <c r="M57" s="106"/>
      <c r="N57" s="106"/>
      <c r="O57" s="106"/>
      <c r="P57" s="106">
        <f t="shared" si="30"/>
        <v>1879000</v>
      </c>
      <c r="Q57" s="344">
        <f t="shared" si="31"/>
        <v>1.5658333333333334</v>
      </c>
      <c r="R57" s="346">
        <f t="shared" si="32"/>
        <v>-679000</v>
      </c>
      <c r="S57" s="395">
        <f t="shared" si="33"/>
        <v>-0.5658333333333333</v>
      </c>
      <c r="T57" s="402">
        <f t="shared" si="34"/>
        <v>300000</v>
      </c>
      <c r="U57" s="109">
        <f t="shared" si="35"/>
        <v>1879000</v>
      </c>
      <c r="V57" s="403">
        <f t="shared" si="36"/>
        <v>6.2633333333333336</v>
      </c>
      <c r="W57" s="347">
        <f t="shared" si="37"/>
        <v>1</v>
      </c>
      <c r="Y57" s="106"/>
      <c r="Z57" s="347"/>
      <c r="AB57" s="106"/>
      <c r="AC57" s="106"/>
      <c r="AD57" s="628"/>
      <c r="AE57" s="623"/>
      <c r="AF57" s="49"/>
    </row>
    <row r="58" spans="1:33" ht="15">
      <c r="A58" s="96" t="s">
        <v>126</v>
      </c>
      <c r="B58" s="106">
        <v>250000</v>
      </c>
      <c r="C58" s="106">
        <f t="shared" si="29"/>
        <v>3000000</v>
      </c>
      <c r="D58" s="106"/>
      <c r="E58" s="106">
        <v>357000</v>
      </c>
      <c r="F58" s="106"/>
      <c r="G58" s="106"/>
      <c r="H58" s="106"/>
      <c r="I58" s="106"/>
      <c r="J58" s="106"/>
      <c r="K58" s="106"/>
      <c r="L58" s="106"/>
      <c r="M58" s="106"/>
      <c r="N58" s="106"/>
      <c r="O58" s="106"/>
      <c r="P58" s="106">
        <f t="shared" si="30"/>
        <v>357000</v>
      </c>
      <c r="Q58" s="344">
        <f t="shared" si="31"/>
        <v>0.11899999999999999</v>
      </c>
      <c r="R58" s="346">
        <f t="shared" si="32"/>
        <v>2643000</v>
      </c>
      <c r="S58" s="395">
        <f t="shared" si="33"/>
        <v>0.88100000000000001</v>
      </c>
      <c r="T58" s="402">
        <f t="shared" si="34"/>
        <v>750000</v>
      </c>
      <c r="U58" s="109">
        <f t="shared" si="35"/>
        <v>357000</v>
      </c>
      <c r="V58" s="403">
        <f t="shared" si="36"/>
        <v>0.47599999999999998</v>
      </c>
      <c r="W58" s="347">
        <f t="shared" si="37"/>
        <v>1</v>
      </c>
      <c r="Y58" s="106"/>
      <c r="Z58" s="347"/>
      <c r="AB58" s="106"/>
      <c r="AC58" s="106"/>
      <c r="AD58" s="628"/>
      <c r="AE58" s="623"/>
    </row>
    <row r="59" spans="1:33" ht="15">
      <c r="A59" s="96" t="s">
        <v>124</v>
      </c>
      <c r="B59" s="106">
        <v>100000</v>
      </c>
      <c r="C59" s="106">
        <f t="shared" si="29"/>
        <v>1200000</v>
      </c>
      <c r="D59" s="106"/>
      <c r="E59" s="106"/>
      <c r="F59" s="106"/>
      <c r="G59" s="106"/>
      <c r="H59" s="106"/>
      <c r="I59" s="106">
        <v>1360000</v>
      </c>
      <c r="J59" s="106"/>
      <c r="K59" s="106"/>
      <c r="L59" s="106"/>
      <c r="M59" s="106"/>
      <c r="N59" s="106"/>
      <c r="O59" s="106"/>
      <c r="P59" s="106">
        <f t="shared" ref="P59:P71" si="38">SUM(D59:O59)</f>
        <v>1360000</v>
      </c>
      <c r="Q59" s="344">
        <f t="shared" ref="Q59:Q71" si="39">+P59/C59</f>
        <v>1.1333333333333333</v>
      </c>
      <c r="R59" s="346">
        <f t="shared" ref="R59:R71" si="40">+C59-P59</f>
        <v>-160000</v>
      </c>
      <c r="S59" s="395">
        <f t="shared" ref="S59:S71" si="41">+R59/C59</f>
        <v>-0.13333333333333333</v>
      </c>
      <c r="T59" s="402">
        <f t="shared" ref="T59:T71" si="42">+B59*$T$3</f>
        <v>300000</v>
      </c>
      <c r="U59" s="109">
        <f t="shared" ref="U59:U71" si="43">+P59</f>
        <v>1360000</v>
      </c>
      <c r="V59" s="403">
        <f t="shared" ref="V59:V71" si="44">+U59/T59</f>
        <v>4.5333333333333332</v>
      </c>
      <c r="W59" s="347">
        <f t="shared" ref="W59:W71" si="45">+S59+Q59</f>
        <v>1</v>
      </c>
      <c r="Y59" s="106"/>
      <c r="Z59" s="347"/>
      <c r="AB59" s="106"/>
      <c r="AC59" s="106"/>
      <c r="AD59" s="628"/>
      <c r="AE59" s="623"/>
      <c r="AG59" s="49">
        <f>+D72-D58-D59</f>
        <v>6834241</v>
      </c>
    </row>
    <row r="60" spans="1:33" ht="15.75">
      <c r="A60" s="633" t="s">
        <v>745</v>
      </c>
      <c r="B60" s="627"/>
      <c r="C60" s="627"/>
      <c r="D60" s="627"/>
      <c r="E60" s="627"/>
      <c r="F60" s="627"/>
      <c r="G60" s="627"/>
      <c r="H60" s="627"/>
      <c r="I60" s="627"/>
      <c r="J60" s="627"/>
      <c r="K60" s="627"/>
      <c r="L60" s="627"/>
      <c r="M60" s="627"/>
      <c r="N60" s="627"/>
      <c r="O60" s="627"/>
      <c r="P60" s="627"/>
      <c r="Q60" s="627"/>
      <c r="R60" s="627"/>
      <c r="S60" s="395"/>
      <c r="T60" s="627"/>
      <c r="U60" s="627"/>
      <c r="V60" s="627"/>
      <c r="W60" s="627"/>
      <c r="Y60" s="106"/>
      <c r="Z60" s="627"/>
      <c r="AB60" s="106"/>
      <c r="AC60" s="106"/>
      <c r="AD60" s="628"/>
      <c r="AE60" s="627"/>
      <c r="AG60" s="49"/>
    </row>
    <row r="61" spans="1:33" ht="15">
      <c r="A61" s="96" t="s">
        <v>735</v>
      </c>
      <c r="B61" s="106">
        <v>1666666.6666666667</v>
      </c>
      <c r="C61" s="106">
        <f t="shared" ref="C61:C71" si="46">+B61*12</f>
        <v>20000000</v>
      </c>
      <c r="D61" s="106"/>
      <c r="E61" s="106"/>
      <c r="F61" s="106"/>
      <c r="G61" s="106"/>
      <c r="H61" s="106"/>
      <c r="I61" s="106"/>
      <c r="J61" s="106"/>
      <c r="K61" s="106"/>
      <c r="L61" s="106"/>
      <c r="M61" s="106"/>
      <c r="N61" s="106"/>
      <c r="O61" s="106"/>
      <c r="P61" s="106">
        <f t="shared" si="38"/>
        <v>0</v>
      </c>
      <c r="Q61" s="344">
        <f t="shared" si="39"/>
        <v>0</v>
      </c>
      <c r="R61" s="346">
        <f t="shared" si="40"/>
        <v>20000000</v>
      </c>
      <c r="S61" s="395">
        <f t="shared" si="41"/>
        <v>1</v>
      </c>
      <c r="T61" s="402">
        <f t="shared" si="42"/>
        <v>5000000</v>
      </c>
      <c r="U61" s="109">
        <f t="shared" si="43"/>
        <v>0</v>
      </c>
      <c r="V61" s="403">
        <f t="shared" si="44"/>
        <v>0</v>
      </c>
      <c r="W61" s="347">
        <f t="shared" si="45"/>
        <v>1</v>
      </c>
      <c r="Y61" s="106"/>
      <c r="Z61" s="347"/>
      <c r="AB61" s="106"/>
      <c r="AC61" s="106"/>
      <c r="AD61" s="628"/>
      <c r="AE61" s="627"/>
      <c r="AG61" s="49"/>
    </row>
    <row r="62" spans="1:33" ht="15">
      <c r="A62" s="96" t="s">
        <v>746</v>
      </c>
      <c r="B62" s="106">
        <v>416666.66666666669</v>
      </c>
      <c r="C62" s="106">
        <f t="shared" si="46"/>
        <v>5000000</v>
      </c>
      <c r="D62" s="106"/>
      <c r="E62" s="106"/>
      <c r="F62" s="106"/>
      <c r="G62" s="106"/>
      <c r="H62" s="106"/>
      <c r="I62" s="106"/>
      <c r="J62" s="106"/>
      <c r="K62" s="106"/>
      <c r="L62" s="106"/>
      <c r="M62" s="106"/>
      <c r="N62" s="106"/>
      <c r="O62" s="106"/>
      <c r="P62" s="106">
        <f t="shared" si="38"/>
        <v>0</v>
      </c>
      <c r="Q62" s="344">
        <f t="shared" si="39"/>
        <v>0</v>
      </c>
      <c r="R62" s="346">
        <f t="shared" si="40"/>
        <v>5000000</v>
      </c>
      <c r="S62" s="395">
        <f t="shared" si="41"/>
        <v>1</v>
      </c>
      <c r="T62" s="402">
        <f t="shared" si="42"/>
        <v>1250000</v>
      </c>
      <c r="U62" s="109">
        <f t="shared" si="43"/>
        <v>0</v>
      </c>
      <c r="V62" s="403">
        <f t="shared" si="44"/>
        <v>0</v>
      </c>
      <c r="W62" s="347">
        <f t="shared" si="45"/>
        <v>1</v>
      </c>
      <c r="Y62" s="106"/>
      <c r="Z62" s="347"/>
      <c r="AB62" s="106"/>
      <c r="AC62" s="106"/>
      <c r="AD62" s="628"/>
      <c r="AE62" s="627"/>
      <c r="AG62" s="49"/>
    </row>
    <row r="63" spans="1:33" ht="15">
      <c r="A63" s="96" t="s">
        <v>747</v>
      </c>
      <c r="B63" s="106">
        <v>550000</v>
      </c>
      <c r="C63" s="106">
        <f t="shared" si="46"/>
        <v>6600000</v>
      </c>
      <c r="D63" s="106"/>
      <c r="E63" s="106"/>
      <c r="F63" s="106"/>
      <c r="G63" s="106"/>
      <c r="H63" s="106"/>
      <c r="I63" s="106"/>
      <c r="J63" s="106"/>
      <c r="K63" s="106"/>
      <c r="L63" s="106"/>
      <c r="M63" s="106"/>
      <c r="N63" s="106"/>
      <c r="O63" s="106"/>
      <c r="P63" s="106">
        <f t="shared" si="38"/>
        <v>0</v>
      </c>
      <c r="Q63" s="344">
        <f t="shared" si="39"/>
        <v>0</v>
      </c>
      <c r="R63" s="346">
        <f t="shared" si="40"/>
        <v>6600000</v>
      </c>
      <c r="S63" s="395">
        <f t="shared" si="41"/>
        <v>1</v>
      </c>
      <c r="T63" s="402">
        <f t="shared" si="42"/>
        <v>1650000</v>
      </c>
      <c r="U63" s="109">
        <f t="shared" si="43"/>
        <v>0</v>
      </c>
      <c r="V63" s="403">
        <f t="shared" si="44"/>
        <v>0</v>
      </c>
      <c r="W63" s="347">
        <f t="shared" si="45"/>
        <v>1</v>
      </c>
      <c r="Y63" s="106"/>
      <c r="Z63" s="347"/>
      <c r="AB63" s="106"/>
      <c r="AC63" s="106"/>
      <c r="AD63" s="628"/>
      <c r="AE63" s="627"/>
      <c r="AG63" s="49"/>
    </row>
    <row r="64" spans="1:33" ht="15">
      <c r="A64" s="96" t="s">
        <v>758</v>
      </c>
      <c r="B64" s="106">
        <v>416666.66666666669</v>
      </c>
      <c r="C64" s="106">
        <f t="shared" si="46"/>
        <v>5000000</v>
      </c>
      <c r="D64" s="106"/>
      <c r="E64" s="106"/>
      <c r="F64" s="106"/>
      <c r="G64" s="106"/>
      <c r="H64" s="106"/>
      <c r="I64" s="106"/>
      <c r="J64" s="106"/>
      <c r="K64" s="106"/>
      <c r="L64" s="106"/>
      <c r="M64" s="106"/>
      <c r="N64" s="106"/>
      <c r="O64" s="106"/>
      <c r="P64" s="106">
        <f t="shared" si="38"/>
        <v>0</v>
      </c>
      <c r="Q64" s="344">
        <f t="shared" si="39"/>
        <v>0</v>
      </c>
      <c r="R64" s="346">
        <f t="shared" si="40"/>
        <v>5000000</v>
      </c>
      <c r="S64" s="395">
        <f t="shared" si="41"/>
        <v>1</v>
      </c>
      <c r="T64" s="402">
        <f t="shared" si="42"/>
        <v>1250000</v>
      </c>
      <c r="U64" s="109">
        <f t="shared" si="43"/>
        <v>0</v>
      </c>
      <c r="V64" s="403">
        <f t="shared" si="44"/>
        <v>0</v>
      </c>
      <c r="W64" s="347">
        <f t="shared" si="45"/>
        <v>1</v>
      </c>
      <c r="Y64" s="106"/>
      <c r="Z64" s="347"/>
      <c r="AB64" s="106"/>
      <c r="AC64" s="106"/>
      <c r="AD64" s="628"/>
      <c r="AE64" s="627"/>
      <c r="AG64" s="49"/>
    </row>
    <row r="65" spans="1:33" ht="15">
      <c r="A65" s="96" t="s">
        <v>748</v>
      </c>
      <c r="B65" s="106">
        <v>666666.66666666663</v>
      </c>
      <c r="C65" s="106">
        <f t="shared" si="46"/>
        <v>8000000</v>
      </c>
      <c r="D65" s="106"/>
      <c r="E65" s="106"/>
      <c r="F65" s="106"/>
      <c r="G65" s="106"/>
      <c r="H65" s="106"/>
      <c r="I65" s="106"/>
      <c r="J65" s="106"/>
      <c r="K65" s="106"/>
      <c r="L65" s="106"/>
      <c r="M65" s="106"/>
      <c r="N65" s="106"/>
      <c r="O65" s="106"/>
      <c r="P65" s="106">
        <f t="shared" si="38"/>
        <v>0</v>
      </c>
      <c r="Q65" s="344">
        <f t="shared" si="39"/>
        <v>0</v>
      </c>
      <c r="R65" s="346">
        <f t="shared" si="40"/>
        <v>8000000</v>
      </c>
      <c r="S65" s="395">
        <f t="shared" si="41"/>
        <v>1</v>
      </c>
      <c r="T65" s="402">
        <f t="shared" si="42"/>
        <v>2000000</v>
      </c>
      <c r="U65" s="109">
        <f t="shared" si="43"/>
        <v>0</v>
      </c>
      <c r="V65" s="403">
        <f t="shared" si="44"/>
        <v>0</v>
      </c>
      <c r="W65" s="347">
        <f t="shared" si="45"/>
        <v>1</v>
      </c>
      <c r="Y65" s="106"/>
      <c r="Z65" s="347"/>
      <c r="AB65" s="106"/>
      <c r="AC65" s="106"/>
      <c r="AD65" s="628"/>
      <c r="AE65" s="627"/>
      <c r="AG65" s="49"/>
    </row>
    <row r="66" spans="1:33" ht="15">
      <c r="A66" s="96" t="s">
        <v>1094</v>
      </c>
      <c r="B66" s="106">
        <f>144583.333333333+160666.67+208333.334+133333.334</f>
        <v>646916.67133333301</v>
      </c>
      <c r="C66" s="106">
        <f>+B66*12</f>
        <v>7763000.0559999961</v>
      </c>
      <c r="D66" s="106"/>
      <c r="E66" s="106"/>
      <c r="F66" s="106"/>
      <c r="G66" s="106"/>
      <c r="H66" s="106"/>
      <c r="I66" s="106">
        <v>3994000</v>
      </c>
      <c r="J66" s="106"/>
      <c r="K66" s="106"/>
      <c r="L66" s="106"/>
      <c r="M66" s="106"/>
      <c r="N66" s="106"/>
      <c r="O66" s="106"/>
      <c r="P66" s="106">
        <f t="shared" si="38"/>
        <v>3994000</v>
      </c>
      <c r="Q66" s="344">
        <f t="shared" si="39"/>
        <v>0.51449181646122122</v>
      </c>
      <c r="R66" s="346">
        <f t="shared" si="40"/>
        <v>3769000.0559999961</v>
      </c>
      <c r="S66" s="395">
        <f t="shared" si="41"/>
        <v>0.48550818353877878</v>
      </c>
      <c r="T66" s="402">
        <f t="shared" si="42"/>
        <v>1940750.013999999</v>
      </c>
      <c r="U66" s="109">
        <f t="shared" si="43"/>
        <v>3994000</v>
      </c>
      <c r="V66" s="403">
        <f t="shared" si="44"/>
        <v>2.0579672658448849</v>
      </c>
      <c r="W66" s="347">
        <f t="shared" si="45"/>
        <v>1</v>
      </c>
      <c r="Y66" s="106"/>
      <c r="Z66" s="347"/>
      <c r="AB66" s="106"/>
      <c r="AC66" s="106"/>
      <c r="AD66" s="628"/>
      <c r="AE66" s="627"/>
      <c r="AG66" s="49"/>
    </row>
    <row r="67" spans="1:33" ht="15">
      <c r="A67" s="96" t="s">
        <v>750</v>
      </c>
      <c r="B67" s="106">
        <v>1000000</v>
      </c>
      <c r="C67" s="106">
        <f t="shared" si="46"/>
        <v>12000000</v>
      </c>
      <c r="D67" s="106"/>
      <c r="E67" s="106"/>
      <c r="F67" s="106"/>
      <c r="G67" s="106"/>
      <c r="H67" s="106"/>
      <c r="I67" s="106"/>
      <c r="J67" s="106"/>
      <c r="K67" s="106"/>
      <c r="L67" s="106"/>
      <c r="M67" s="106"/>
      <c r="N67" s="106"/>
      <c r="O67" s="106"/>
      <c r="P67" s="106">
        <f t="shared" si="38"/>
        <v>0</v>
      </c>
      <c r="Q67" s="344">
        <f t="shared" si="39"/>
        <v>0</v>
      </c>
      <c r="R67" s="346">
        <f t="shared" si="40"/>
        <v>12000000</v>
      </c>
      <c r="S67" s="395">
        <f t="shared" si="41"/>
        <v>1</v>
      </c>
      <c r="T67" s="402">
        <f t="shared" si="42"/>
        <v>3000000</v>
      </c>
      <c r="U67" s="109">
        <f t="shared" si="43"/>
        <v>0</v>
      </c>
      <c r="V67" s="403">
        <f t="shared" si="44"/>
        <v>0</v>
      </c>
      <c r="W67" s="347">
        <f t="shared" si="45"/>
        <v>1</v>
      </c>
      <c r="Y67" s="106"/>
      <c r="Z67" s="347"/>
      <c r="AB67" s="106"/>
      <c r="AC67" s="106"/>
      <c r="AD67" s="628"/>
      <c r="AE67" s="627"/>
      <c r="AG67" s="49"/>
    </row>
    <row r="68" spans="1:33" ht="15">
      <c r="A68" s="96" t="s">
        <v>754</v>
      </c>
      <c r="B68" s="106">
        <v>333333.33333333331</v>
      </c>
      <c r="C68" s="106">
        <f t="shared" si="46"/>
        <v>4000000</v>
      </c>
      <c r="D68" s="106"/>
      <c r="E68" s="106"/>
      <c r="F68" s="106"/>
      <c r="G68" s="106"/>
      <c r="H68" s="106"/>
      <c r="I68" s="106"/>
      <c r="J68" s="106"/>
      <c r="K68" s="106"/>
      <c r="L68" s="106"/>
      <c r="M68" s="106"/>
      <c r="N68" s="106"/>
      <c r="O68" s="106"/>
      <c r="P68" s="106">
        <f t="shared" si="38"/>
        <v>0</v>
      </c>
      <c r="Q68" s="344">
        <f t="shared" si="39"/>
        <v>0</v>
      </c>
      <c r="R68" s="346">
        <f t="shared" si="40"/>
        <v>4000000</v>
      </c>
      <c r="S68" s="395">
        <f t="shared" si="41"/>
        <v>1</v>
      </c>
      <c r="T68" s="402">
        <f t="shared" si="42"/>
        <v>1000000</v>
      </c>
      <c r="U68" s="109">
        <f t="shared" si="43"/>
        <v>0</v>
      </c>
      <c r="V68" s="403">
        <f t="shared" si="44"/>
        <v>0</v>
      </c>
      <c r="W68" s="347">
        <f t="shared" si="45"/>
        <v>1</v>
      </c>
      <c r="Y68" s="106"/>
      <c r="Z68" s="347"/>
      <c r="AB68" s="106"/>
      <c r="AC68" s="106"/>
      <c r="AD68" s="628"/>
      <c r="AE68" s="627"/>
      <c r="AG68" s="49"/>
    </row>
    <row r="69" spans="1:33" ht="15">
      <c r="A69" s="96" t="s">
        <v>739</v>
      </c>
      <c r="B69" s="106">
        <v>208333.33333333334</v>
      </c>
      <c r="C69" s="106">
        <f t="shared" si="46"/>
        <v>2500000</v>
      </c>
      <c r="D69" s="106"/>
      <c r="E69" s="106"/>
      <c r="F69" s="106"/>
      <c r="G69" s="106"/>
      <c r="H69" s="106">
        <v>2500000</v>
      </c>
      <c r="I69" s="106"/>
      <c r="J69" s="106"/>
      <c r="K69" s="106"/>
      <c r="L69" s="106"/>
      <c r="M69" s="106"/>
      <c r="N69" s="106"/>
      <c r="O69" s="106"/>
      <c r="P69" s="106">
        <f t="shared" si="38"/>
        <v>2500000</v>
      </c>
      <c r="Q69" s="344">
        <f t="shared" si="39"/>
        <v>1</v>
      </c>
      <c r="R69" s="346">
        <f t="shared" si="40"/>
        <v>0</v>
      </c>
      <c r="S69" s="395">
        <f t="shared" si="41"/>
        <v>0</v>
      </c>
      <c r="T69" s="402">
        <f t="shared" si="42"/>
        <v>625000</v>
      </c>
      <c r="U69" s="109">
        <f t="shared" si="43"/>
        <v>2500000</v>
      </c>
      <c r="V69" s="403">
        <f t="shared" si="44"/>
        <v>4</v>
      </c>
      <c r="W69" s="347">
        <f t="shared" si="45"/>
        <v>1</v>
      </c>
      <c r="Y69" s="106"/>
      <c r="Z69" s="347"/>
      <c r="AB69" s="106"/>
      <c r="AC69" s="106"/>
      <c r="AD69" s="628"/>
      <c r="AE69" s="627"/>
      <c r="AG69" s="49"/>
    </row>
    <row r="70" spans="1:33" ht="15">
      <c r="A70" s="96" t="s">
        <v>755</v>
      </c>
      <c r="B70" s="106">
        <v>583333.33333333337</v>
      </c>
      <c r="C70" s="106">
        <f t="shared" si="46"/>
        <v>7000000</v>
      </c>
      <c r="D70" s="106">
        <v>190000</v>
      </c>
      <c r="E70" s="106"/>
      <c r="F70" s="106"/>
      <c r="G70" s="106"/>
      <c r="H70" s="106"/>
      <c r="I70" s="106"/>
      <c r="J70" s="106"/>
      <c r="K70" s="106"/>
      <c r="L70" s="106"/>
      <c r="M70" s="106"/>
      <c r="N70" s="106"/>
      <c r="O70" s="106"/>
      <c r="P70" s="106">
        <f t="shared" si="38"/>
        <v>190000</v>
      </c>
      <c r="Q70" s="344">
        <f t="shared" si="39"/>
        <v>2.7142857142857142E-2</v>
      </c>
      <c r="R70" s="346">
        <f t="shared" si="40"/>
        <v>6810000</v>
      </c>
      <c r="S70" s="395">
        <f t="shared" si="41"/>
        <v>0.97285714285714286</v>
      </c>
      <c r="T70" s="402">
        <f t="shared" si="42"/>
        <v>1750000</v>
      </c>
      <c r="U70" s="109">
        <f t="shared" si="43"/>
        <v>190000</v>
      </c>
      <c r="V70" s="403">
        <f t="shared" si="44"/>
        <v>0.10857142857142857</v>
      </c>
      <c r="W70" s="347">
        <f t="shared" si="45"/>
        <v>1</v>
      </c>
      <c r="Y70" s="106"/>
      <c r="Z70" s="347"/>
      <c r="AB70" s="106"/>
      <c r="AC70" s="106"/>
      <c r="AD70" s="628"/>
      <c r="AE70" s="627"/>
      <c r="AG70" s="49"/>
    </row>
    <row r="71" spans="1:33" ht="15">
      <c r="A71" s="96" t="s">
        <v>756</v>
      </c>
      <c r="B71" s="106">
        <v>108333.33333333333</v>
      </c>
      <c r="C71" s="106">
        <f t="shared" si="46"/>
        <v>1300000</v>
      </c>
      <c r="D71" s="106"/>
      <c r="E71" s="106"/>
      <c r="F71" s="106"/>
      <c r="G71" s="106"/>
      <c r="H71" s="106"/>
      <c r="I71" s="106"/>
      <c r="J71" s="106"/>
      <c r="K71" s="106"/>
      <c r="L71" s="106"/>
      <c r="M71" s="106"/>
      <c r="N71" s="106"/>
      <c r="O71" s="106"/>
      <c r="P71" s="106">
        <f t="shared" si="38"/>
        <v>0</v>
      </c>
      <c r="Q71" s="344">
        <f t="shared" si="39"/>
        <v>0</v>
      </c>
      <c r="R71" s="346">
        <f t="shared" si="40"/>
        <v>1300000</v>
      </c>
      <c r="S71" s="395">
        <f t="shared" si="41"/>
        <v>1</v>
      </c>
      <c r="T71" s="402">
        <f t="shared" si="42"/>
        <v>325000</v>
      </c>
      <c r="U71" s="109">
        <f t="shared" si="43"/>
        <v>0</v>
      </c>
      <c r="V71" s="403">
        <f t="shared" si="44"/>
        <v>0</v>
      </c>
      <c r="W71" s="347">
        <f t="shared" si="45"/>
        <v>1</v>
      </c>
      <c r="Y71" s="106"/>
      <c r="Z71" s="347"/>
      <c r="AB71" s="106"/>
      <c r="AC71" s="106"/>
      <c r="AD71" s="628"/>
      <c r="AE71" s="627"/>
      <c r="AG71" s="49"/>
    </row>
    <row r="72" spans="1:33" s="343" customFormat="1" ht="22.5" customHeight="1">
      <c r="A72" s="342" t="s">
        <v>131</v>
      </c>
      <c r="B72" s="337">
        <f t="shared" ref="B72:P72" si="47">SUM(B36:B71)</f>
        <v>15364450.671333333</v>
      </c>
      <c r="C72" s="337">
        <f t="shared" si="47"/>
        <v>184373408.05599999</v>
      </c>
      <c r="D72" s="337">
        <f t="shared" si="47"/>
        <v>6834241</v>
      </c>
      <c r="E72" s="337">
        <f t="shared" si="47"/>
        <v>7376357</v>
      </c>
      <c r="F72" s="337">
        <f t="shared" si="47"/>
        <v>11613600</v>
      </c>
      <c r="G72" s="337">
        <f t="shared" si="47"/>
        <v>4127162</v>
      </c>
      <c r="H72" s="337">
        <f t="shared" si="47"/>
        <v>9199950</v>
      </c>
      <c r="I72" s="337">
        <f t="shared" si="47"/>
        <v>11263725</v>
      </c>
      <c r="J72" s="337">
        <f t="shared" si="47"/>
        <v>0</v>
      </c>
      <c r="K72" s="337">
        <f t="shared" si="47"/>
        <v>0</v>
      </c>
      <c r="L72" s="337">
        <f t="shared" si="47"/>
        <v>0</v>
      </c>
      <c r="M72" s="337">
        <f t="shared" si="47"/>
        <v>0</v>
      </c>
      <c r="N72" s="337">
        <f t="shared" si="47"/>
        <v>0</v>
      </c>
      <c r="O72" s="337">
        <f t="shared" si="47"/>
        <v>0</v>
      </c>
      <c r="P72" s="337">
        <f t="shared" si="47"/>
        <v>50415035</v>
      </c>
      <c r="Q72" s="348">
        <f>+P72/C72</f>
        <v>0.27343983892019486</v>
      </c>
      <c r="R72" s="337">
        <f>SUM(R36:R71)</f>
        <v>133958373.05599999</v>
      </c>
      <c r="S72" s="397">
        <f t="shared" si="13"/>
        <v>0.72656016107980514</v>
      </c>
      <c r="T72" s="337">
        <f>SUM(T36:T71)</f>
        <v>46093352.013999999</v>
      </c>
      <c r="U72" s="337">
        <f>SUM(U36:U71)</f>
        <v>50415035</v>
      </c>
      <c r="V72" s="412">
        <f>+U72/T72</f>
        <v>1.0937593556807794</v>
      </c>
      <c r="W72" s="347">
        <f>+S72+Q72</f>
        <v>1</v>
      </c>
      <c r="X72"/>
      <c r="Y72" s="106"/>
      <c r="Z72" s="347"/>
      <c r="AA72"/>
      <c r="AB72" s="106"/>
      <c r="AC72" s="106"/>
      <c r="AD72" s="628"/>
      <c r="AE72" s="623"/>
      <c r="AG72" s="343">
        <v>5330324</v>
      </c>
    </row>
    <row r="73" spans="1:33" ht="15">
      <c r="A73" s="96" t="s">
        <v>134</v>
      </c>
      <c r="B73" s="106">
        <v>583333</v>
      </c>
      <c r="C73" s="106">
        <f t="shared" ref="C73:C83" si="48">+B73*12</f>
        <v>6999996</v>
      </c>
      <c r="D73" s="106">
        <v>100</v>
      </c>
      <c r="E73" s="106">
        <v>755629</v>
      </c>
      <c r="F73" s="106">
        <v>330000</v>
      </c>
      <c r="G73" s="106"/>
      <c r="H73" s="106">
        <v>826943</v>
      </c>
      <c r="I73" s="106">
        <v>595000</v>
      </c>
      <c r="J73" s="106"/>
      <c r="K73" s="106"/>
      <c r="L73" s="106"/>
      <c r="M73" s="106"/>
      <c r="N73" s="106"/>
      <c r="O73" s="106"/>
      <c r="P73" s="106">
        <f t="shared" ref="P73:P83" si="49">SUM(D73:O73)</f>
        <v>2507672</v>
      </c>
      <c r="Q73" s="344">
        <f t="shared" ref="Q73:Q86" si="50">+P73/C73</f>
        <v>0.35823906185089249</v>
      </c>
      <c r="R73" s="346">
        <f t="shared" ref="R73:R83" si="51">+C73-P73</f>
        <v>4492324</v>
      </c>
      <c r="S73" s="395">
        <f t="shared" ref="S73:S86" si="52">+R73/C73</f>
        <v>0.64176093814910751</v>
      </c>
      <c r="T73" s="402">
        <f t="shared" ref="T73:T83" si="53">+B73*$T$3</f>
        <v>1749999</v>
      </c>
      <c r="U73" s="109">
        <f t="shared" ref="U73:U83" si="54">+P73</f>
        <v>2507672</v>
      </c>
      <c r="V73" s="403">
        <f t="shared" ref="V73:V83" si="55">+U73/T73</f>
        <v>1.43295624740357</v>
      </c>
      <c r="W73" s="347">
        <f t="shared" ref="W73:W83" si="56">+S73+Q73</f>
        <v>1</v>
      </c>
      <c r="Y73" s="106"/>
      <c r="Z73" s="347"/>
      <c r="AB73" s="106"/>
      <c r="AC73" s="106"/>
      <c r="AD73" s="628"/>
      <c r="AE73" s="623"/>
      <c r="AG73" s="49">
        <f>+AG59-AG72</f>
        <v>1503917</v>
      </c>
    </row>
    <row r="74" spans="1:33" ht="15.75">
      <c r="A74" s="96" t="s">
        <v>135</v>
      </c>
      <c r="B74" s="106">
        <v>121833</v>
      </c>
      <c r="C74" s="106">
        <f t="shared" si="48"/>
        <v>1461996</v>
      </c>
      <c r="D74" s="106">
        <v>210980</v>
      </c>
      <c r="E74" s="106">
        <v>334960</v>
      </c>
      <c r="F74" s="106">
        <v>171700</v>
      </c>
      <c r="G74" s="106"/>
      <c r="H74" s="106">
        <v>76000</v>
      </c>
      <c r="I74" s="106">
        <v>55200</v>
      </c>
      <c r="J74" s="106"/>
      <c r="K74" s="106"/>
      <c r="L74" s="106"/>
      <c r="M74" s="106"/>
      <c r="N74" s="106"/>
      <c r="O74" s="106"/>
      <c r="P74" s="106">
        <f t="shared" si="49"/>
        <v>848840</v>
      </c>
      <c r="Q74" s="344">
        <f t="shared" si="50"/>
        <v>0.5806035037031565</v>
      </c>
      <c r="R74" s="346">
        <f t="shared" si="51"/>
        <v>613156</v>
      </c>
      <c r="S74" s="395">
        <f t="shared" si="52"/>
        <v>0.4193964962968435</v>
      </c>
      <c r="T74" s="402">
        <f t="shared" si="53"/>
        <v>365499</v>
      </c>
      <c r="U74" s="109">
        <f t="shared" si="54"/>
        <v>848840</v>
      </c>
      <c r="V74" s="403">
        <f t="shared" si="55"/>
        <v>2.322414014812626</v>
      </c>
      <c r="W74" s="347">
        <f t="shared" si="56"/>
        <v>1</v>
      </c>
      <c r="Y74" s="106"/>
      <c r="Z74" s="347"/>
      <c r="AB74" s="106"/>
      <c r="AC74" s="106"/>
      <c r="AD74" s="629"/>
      <c r="AE74" s="623"/>
    </row>
    <row r="75" spans="1:33" ht="15">
      <c r="A75" s="96" t="s">
        <v>136</v>
      </c>
      <c r="B75" s="106">
        <v>150000</v>
      </c>
      <c r="C75" s="106">
        <f t="shared" si="48"/>
        <v>1800000</v>
      </c>
      <c r="D75" s="106">
        <v>140800</v>
      </c>
      <c r="E75" s="106">
        <v>467609</v>
      </c>
      <c r="F75" s="106">
        <v>36700</v>
      </c>
      <c r="G75" s="106"/>
      <c r="H75" s="106">
        <v>128900</v>
      </c>
      <c r="I75" s="106">
        <v>9790</v>
      </c>
      <c r="J75" s="106"/>
      <c r="K75" s="106"/>
      <c r="L75" s="106"/>
      <c r="M75" s="106"/>
      <c r="N75" s="106"/>
      <c r="O75" s="106"/>
      <c r="P75" s="106">
        <f t="shared" si="49"/>
        <v>783799</v>
      </c>
      <c r="Q75" s="344">
        <f t="shared" si="50"/>
        <v>0.43544388888888891</v>
      </c>
      <c r="R75" s="346">
        <f t="shared" si="51"/>
        <v>1016201</v>
      </c>
      <c r="S75" s="395">
        <f t="shared" si="52"/>
        <v>0.56455611111111115</v>
      </c>
      <c r="T75" s="402">
        <f t="shared" si="53"/>
        <v>450000</v>
      </c>
      <c r="U75" s="109">
        <f t="shared" si="54"/>
        <v>783799</v>
      </c>
      <c r="V75" s="403">
        <f t="shared" si="55"/>
        <v>1.7417755555555556</v>
      </c>
      <c r="W75" s="347">
        <f t="shared" si="56"/>
        <v>1</v>
      </c>
      <c r="Y75" s="106"/>
      <c r="Z75" s="347"/>
      <c r="AB75" s="106"/>
      <c r="AC75" s="106"/>
      <c r="AD75" s="628"/>
      <c r="AE75" s="623"/>
    </row>
    <row r="76" spans="1:33" ht="15">
      <c r="A76" s="96" t="s">
        <v>156</v>
      </c>
      <c r="B76" s="106">
        <v>77000</v>
      </c>
      <c r="C76" s="106">
        <f t="shared" si="48"/>
        <v>924000</v>
      </c>
      <c r="D76" s="106">
        <v>32900</v>
      </c>
      <c r="E76" s="106">
        <v>32500</v>
      </c>
      <c r="F76" s="106"/>
      <c r="G76" s="106"/>
      <c r="H76" s="106"/>
      <c r="I76" s="106">
        <v>31000</v>
      </c>
      <c r="J76" s="106"/>
      <c r="K76" s="106"/>
      <c r="L76" s="106"/>
      <c r="M76" s="106"/>
      <c r="N76" s="106"/>
      <c r="O76" s="106"/>
      <c r="P76" s="106">
        <f t="shared" si="49"/>
        <v>96400</v>
      </c>
      <c r="Q76" s="344">
        <f t="shared" si="50"/>
        <v>0.10432900432900433</v>
      </c>
      <c r="R76" s="346">
        <f t="shared" si="51"/>
        <v>827600</v>
      </c>
      <c r="S76" s="395">
        <f t="shared" si="52"/>
        <v>0.89567099567099562</v>
      </c>
      <c r="T76" s="402">
        <f t="shared" si="53"/>
        <v>231000</v>
      </c>
      <c r="U76" s="109">
        <f t="shared" si="54"/>
        <v>96400</v>
      </c>
      <c r="V76" s="403">
        <f t="shared" si="55"/>
        <v>0.41731601731601731</v>
      </c>
      <c r="W76" s="347">
        <f t="shared" si="56"/>
        <v>1</v>
      </c>
      <c r="Y76" s="106"/>
      <c r="Z76" s="347"/>
      <c r="AB76" s="106"/>
      <c r="AC76" s="106"/>
      <c r="AD76" s="628"/>
      <c r="AE76" s="623"/>
    </row>
    <row r="77" spans="1:33" ht="15">
      <c r="A77" s="96" t="s">
        <v>137</v>
      </c>
      <c r="B77" s="106">
        <v>125000</v>
      </c>
      <c r="C77" s="106">
        <f t="shared" si="48"/>
        <v>1500000</v>
      </c>
      <c r="D77" s="106"/>
      <c r="E77" s="106"/>
      <c r="F77" s="106"/>
      <c r="G77" s="106"/>
      <c r="H77" s="106"/>
      <c r="I77" s="106"/>
      <c r="J77" s="106"/>
      <c r="K77" s="106"/>
      <c r="L77" s="106"/>
      <c r="M77" s="106"/>
      <c r="N77" s="106"/>
      <c r="O77" s="106"/>
      <c r="P77" s="106">
        <f t="shared" si="49"/>
        <v>0</v>
      </c>
      <c r="Q77" s="344">
        <f t="shared" si="50"/>
        <v>0</v>
      </c>
      <c r="R77" s="346">
        <f t="shared" si="51"/>
        <v>1500000</v>
      </c>
      <c r="S77" s="395">
        <f t="shared" si="52"/>
        <v>1</v>
      </c>
      <c r="T77" s="402">
        <f t="shared" si="53"/>
        <v>375000</v>
      </c>
      <c r="U77" s="109">
        <f t="shared" si="54"/>
        <v>0</v>
      </c>
      <c r="V77" s="403">
        <f t="shared" si="55"/>
        <v>0</v>
      </c>
      <c r="W77" s="347">
        <f t="shared" si="56"/>
        <v>1</v>
      </c>
      <c r="Y77" s="106"/>
      <c r="Z77" s="347"/>
      <c r="AB77" s="106"/>
      <c r="AC77" s="106"/>
      <c r="AD77" s="628"/>
      <c r="AE77" s="623"/>
    </row>
    <row r="78" spans="1:33" ht="15">
      <c r="A78" s="96" t="s">
        <v>138</v>
      </c>
      <c r="B78" s="106">
        <v>574000</v>
      </c>
      <c r="C78" s="106">
        <f t="shared" si="48"/>
        <v>6888000</v>
      </c>
      <c r="D78" s="106"/>
      <c r="E78" s="106">
        <v>2341000</v>
      </c>
      <c r="F78" s="106">
        <v>-2341000</v>
      </c>
      <c r="G78" s="106">
        <v>533670</v>
      </c>
      <c r="H78" s="106">
        <v>595000</v>
      </c>
      <c r="I78" s="106">
        <v>210700</v>
      </c>
      <c r="J78" s="106"/>
      <c r="K78" s="106"/>
      <c r="L78" s="106"/>
      <c r="M78" s="106"/>
      <c r="N78" s="106"/>
      <c r="O78" s="106"/>
      <c r="P78" s="106">
        <f t="shared" si="49"/>
        <v>1339370</v>
      </c>
      <c r="Q78" s="344">
        <f t="shared" si="50"/>
        <v>0.19444976771196285</v>
      </c>
      <c r="R78" s="346">
        <f t="shared" si="51"/>
        <v>5548630</v>
      </c>
      <c r="S78" s="395">
        <f t="shared" si="52"/>
        <v>0.80555023228803713</v>
      </c>
      <c r="T78" s="402">
        <f t="shared" si="53"/>
        <v>1722000</v>
      </c>
      <c r="U78" s="109">
        <f t="shared" si="54"/>
        <v>1339370</v>
      </c>
      <c r="V78" s="403">
        <f t="shared" si="55"/>
        <v>0.77779907084785138</v>
      </c>
      <c r="W78" s="347">
        <f t="shared" si="56"/>
        <v>1</v>
      </c>
      <c r="Y78" s="106"/>
      <c r="Z78" s="347"/>
      <c r="AA78" s="49"/>
      <c r="AB78" s="106"/>
      <c r="AC78" s="106"/>
      <c r="AD78" s="628"/>
      <c r="AE78" s="623"/>
    </row>
    <row r="79" spans="1:33" ht="15">
      <c r="A79" s="96" t="s">
        <v>185</v>
      </c>
      <c r="B79" s="106">
        <v>150000</v>
      </c>
      <c r="C79" s="106">
        <f t="shared" si="48"/>
        <v>1800000</v>
      </c>
      <c r="D79" s="106"/>
      <c r="E79" s="106"/>
      <c r="F79" s="106"/>
      <c r="G79" s="106"/>
      <c r="H79" s="106"/>
      <c r="I79" s="106"/>
      <c r="J79" s="106"/>
      <c r="K79" s="106"/>
      <c r="L79" s="106"/>
      <c r="M79" s="106"/>
      <c r="N79" s="106"/>
      <c r="O79" s="106"/>
      <c r="P79" s="106">
        <f t="shared" si="49"/>
        <v>0</v>
      </c>
      <c r="Q79" s="344">
        <f t="shared" si="50"/>
        <v>0</v>
      </c>
      <c r="R79" s="346">
        <f t="shared" si="51"/>
        <v>1800000</v>
      </c>
      <c r="S79" s="395">
        <f t="shared" si="52"/>
        <v>1</v>
      </c>
      <c r="T79" s="402">
        <f t="shared" si="53"/>
        <v>450000</v>
      </c>
      <c r="U79" s="109">
        <f t="shared" si="54"/>
        <v>0</v>
      </c>
      <c r="V79" s="403">
        <f t="shared" si="55"/>
        <v>0</v>
      </c>
      <c r="W79" s="347">
        <f t="shared" si="56"/>
        <v>1</v>
      </c>
      <c r="Y79" s="106"/>
      <c r="Z79" s="347"/>
      <c r="AB79" s="106"/>
      <c r="AC79" s="106"/>
      <c r="AD79" s="628"/>
      <c r="AE79" s="623"/>
    </row>
    <row r="80" spans="1:33" ht="15">
      <c r="A80" s="96" t="s">
        <v>47</v>
      </c>
      <c r="B80" s="106">
        <v>125000</v>
      </c>
      <c r="C80" s="106">
        <f t="shared" si="48"/>
        <v>1500000</v>
      </c>
      <c r="D80" s="106">
        <f>101444+585</f>
        <v>102029</v>
      </c>
      <c r="E80" s="106">
        <v>287541</v>
      </c>
      <c r="F80" s="106">
        <v>128817</v>
      </c>
      <c r="G80" s="106">
        <f>25846+477</f>
        <v>26323</v>
      </c>
      <c r="H80" s="106">
        <v>40244</v>
      </c>
      <c r="I80" s="106">
        <v>30096</v>
      </c>
      <c r="J80" s="106"/>
      <c r="K80" s="106"/>
      <c r="L80" s="106"/>
      <c r="M80" s="106"/>
      <c r="N80" s="106"/>
      <c r="O80" s="106"/>
      <c r="P80" s="106">
        <f t="shared" si="49"/>
        <v>615050</v>
      </c>
      <c r="Q80" s="344">
        <f t="shared" si="50"/>
        <v>0.41003333333333336</v>
      </c>
      <c r="R80" s="346">
        <f t="shared" si="51"/>
        <v>884950</v>
      </c>
      <c r="S80" s="395">
        <f t="shared" si="52"/>
        <v>0.58996666666666664</v>
      </c>
      <c r="T80" s="402">
        <f t="shared" si="53"/>
        <v>375000</v>
      </c>
      <c r="U80" s="109">
        <f t="shared" si="54"/>
        <v>615050</v>
      </c>
      <c r="V80" s="403">
        <f t="shared" si="55"/>
        <v>1.6401333333333334</v>
      </c>
      <c r="W80" s="347">
        <f t="shared" si="56"/>
        <v>1</v>
      </c>
      <c r="Y80" s="106"/>
      <c r="Z80" s="347"/>
      <c r="AB80" s="106"/>
      <c r="AC80" s="106"/>
      <c r="AD80" s="628"/>
      <c r="AE80" s="623"/>
    </row>
    <row r="81" spans="1:31" ht="15">
      <c r="A81" s="96" t="s">
        <v>186</v>
      </c>
      <c r="B81" s="106">
        <v>300000</v>
      </c>
      <c r="C81" s="106">
        <f t="shared" si="48"/>
        <v>3600000</v>
      </c>
      <c r="D81" s="106"/>
      <c r="E81" s="106"/>
      <c r="F81" s="106"/>
      <c r="G81" s="106"/>
      <c r="H81" s="106"/>
      <c r="I81" s="106">
        <v>555000</v>
      </c>
      <c r="J81" s="106"/>
      <c r="K81" s="106"/>
      <c r="L81" s="106"/>
      <c r="M81" s="106"/>
      <c r="N81" s="106"/>
      <c r="O81" s="106"/>
      <c r="P81" s="106">
        <f t="shared" si="49"/>
        <v>555000</v>
      </c>
      <c r="Q81" s="344">
        <f t="shared" si="50"/>
        <v>0.15416666666666667</v>
      </c>
      <c r="R81" s="346">
        <f t="shared" si="51"/>
        <v>3045000</v>
      </c>
      <c r="S81" s="395">
        <f t="shared" si="52"/>
        <v>0.84583333333333333</v>
      </c>
      <c r="T81" s="402">
        <f t="shared" si="53"/>
        <v>900000</v>
      </c>
      <c r="U81" s="109">
        <f t="shared" si="54"/>
        <v>555000</v>
      </c>
      <c r="V81" s="403">
        <f t="shared" si="55"/>
        <v>0.6166666666666667</v>
      </c>
      <c r="W81" s="347">
        <f t="shared" si="56"/>
        <v>1</v>
      </c>
      <c r="Y81" s="106"/>
      <c r="Z81" s="347"/>
      <c r="AB81" s="106"/>
      <c r="AC81" s="106"/>
      <c r="AD81" s="628"/>
      <c r="AE81" s="623"/>
    </row>
    <row r="82" spans="1:31" ht="15">
      <c r="A82" s="96" t="s">
        <v>1027</v>
      </c>
      <c r="B82" s="106">
        <f>+C82/12</f>
        <v>833333.33333333337</v>
      </c>
      <c r="C82" s="106">
        <v>10000000</v>
      </c>
      <c r="D82" s="106"/>
      <c r="E82" s="106"/>
      <c r="F82" s="106"/>
      <c r="G82" s="106"/>
      <c r="H82" s="106">
        <v>1108083</v>
      </c>
      <c r="I82" s="106">
        <v>1963000</v>
      </c>
      <c r="J82" s="106"/>
      <c r="K82" s="106"/>
      <c r="L82" s="106"/>
      <c r="M82" s="106"/>
      <c r="N82" s="106"/>
      <c r="O82" s="106"/>
      <c r="P82" s="106">
        <f t="shared" ref="P82" si="57">SUM(D82:O82)</f>
        <v>3071083</v>
      </c>
      <c r="Q82" s="344">
        <f t="shared" ref="Q82" si="58">+P82/C82</f>
        <v>0.3071083</v>
      </c>
      <c r="R82" s="346">
        <f t="shared" ref="R82" si="59">+C82-P82</f>
        <v>6928917</v>
      </c>
      <c r="S82" s="395">
        <f t="shared" ref="S82" si="60">+R82/C82</f>
        <v>0.6928917</v>
      </c>
      <c r="T82" s="402">
        <f t="shared" ref="T82" si="61">+B82*$T$3</f>
        <v>2500000</v>
      </c>
      <c r="U82" s="109">
        <f t="shared" ref="U82" si="62">+P82</f>
        <v>3071083</v>
      </c>
      <c r="V82" s="403">
        <f t="shared" ref="V82" si="63">+U82/T82</f>
        <v>1.2284332</v>
      </c>
      <c r="W82" s="347">
        <f t="shared" ref="W82" si="64">+S82+Q82</f>
        <v>1</v>
      </c>
      <c r="Y82" s="106"/>
      <c r="Z82" s="347"/>
      <c r="AB82" s="106"/>
      <c r="AC82" s="106"/>
      <c r="AD82" s="628"/>
      <c r="AE82" s="623"/>
    </row>
    <row r="83" spans="1:31" ht="15">
      <c r="A83" s="96" t="s">
        <v>757</v>
      </c>
      <c r="B83" s="106">
        <v>131050</v>
      </c>
      <c r="C83" s="106">
        <f t="shared" si="48"/>
        <v>1572600</v>
      </c>
      <c r="D83" s="106">
        <v>570684</v>
      </c>
      <c r="E83" s="106">
        <v>298050</v>
      </c>
      <c r="F83" s="106"/>
      <c r="G83" s="106"/>
      <c r="H83" s="106"/>
      <c r="I83" s="106"/>
      <c r="J83" s="106"/>
      <c r="K83" s="106"/>
      <c r="L83" s="106"/>
      <c r="M83" s="106"/>
      <c r="N83" s="106"/>
      <c r="O83" s="106"/>
      <c r="P83" s="106">
        <f t="shared" si="49"/>
        <v>868734</v>
      </c>
      <c r="Q83" s="344">
        <f t="shared" si="50"/>
        <v>0.55241892407478066</v>
      </c>
      <c r="R83" s="346">
        <f t="shared" si="51"/>
        <v>703866</v>
      </c>
      <c r="S83" s="395">
        <f t="shared" si="52"/>
        <v>0.4475810759252194</v>
      </c>
      <c r="T83" s="402">
        <f t="shared" si="53"/>
        <v>393150</v>
      </c>
      <c r="U83" s="109">
        <f t="shared" si="54"/>
        <v>868734</v>
      </c>
      <c r="V83" s="403">
        <f t="shared" si="55"/>
        <v>2.2096756962991226</v>
      </c>
      <c r="W83" s="347">
        <f t="shared" si="56"/>
        <v>1</v>
      </c>
      <c r="X83" s="347"/>
      <c r="Y83" s="347"/>
      <c r="Z83" s="347"/>
      <c r="AA83" s="347"/>
      <c r="AB83" s="106"/>
      <c r="AC83" s="106"/>
      <c r="AD83" s="628"/>
      <c r="AE83" s="623"/>
    </row>
    <row r="84" spans="1:31" s="343" customFormat="1" ht="22.5" customHeight="1">
      <c r="A84" s="342" t="s">
        <v>139</v>
      </c>
      <c r="B84" s="337">
        <f>SUM(B73:B83)</f>
        <v>3170549.3333333335</v>
      </c>
      <c r="C84" s="337">
        <f t="shared" ref="C84:U84" si="65">SUM(C73:C83)</f>
        <v>38046592</v>
      </c>
      <c r="D84" s="337">
        <f t="shared" si="65"/>
        <v>1057493</v>
      </c>
      <c r="E84" s="337">
        <f t="shared" si="65"/>
        <v>4517289</v>
      </c>
      <c r="F84" s="337">
        <f t="shared" si="65"/>
        <v>-1673783</v>
      </c>
      <c r="G84" s="337">
        <f t="shared" si="65"/>
        <v>559993</v>
      </c>
      <c r="H84" s="337">
        <f t="shared" si="65"/>
        <v>2775170</v>
      </c>
      <c r="I84" s="337">
        <f t="shared" si="65"/>
        <v>3449786</v>
      </c>
      <c r="J84" s="337">
        <f t="shared" si="65"/>
        <v>0</v>
      </c>
      <c r="K84" s="337">
        <f t="shared" si="65"/>
        <v>0</v>
      </c>
      <c r="L84" s="337">
        <f t="shared" si="65"/>
        <v>0</v>
      </c>
      <c r="M84" s="337">
        <f t="shared" si="65"/>
        <v>0</v>
      </c>
      <c r="N84" s="337">
        <f t="shared" si="65"/>
        <v>0</v>
      </c>
      <c r="O84" s="337">
        <f t="shared" si="65"/>
        <v>0</v>
      </c>
      <c r="P84" s="337">
        <f t="shared" si="65"/>
        <v>10685948</v>
      </c>
      <c r="Q84" s="348">
        <f t="shared" si="50"/>
        <v>0.28086478809981191</v>
      </c>
      <c r="R84" s="337">
        <f t="shared" si="65"/>
        <v>27360644</v>
      </c>
      <c r="S84" s="397">
        <f t="shared" si="52"/>
        <v>0.71913521190018803</v>
      </c>
      <c r="T84" s="337">
        <f t="shared" si="65"/>
        <v>9511648</v>
      </c>
      <c r="U84" s="337">
        <f t="shared" si="65"/>
        <v>10685948</v>
      </c>
      <c r="V84" s="412">
        <f t="shared" ref="V84:V89" si="66">+U84/T84</f>
        <v>1.1234591523992477</v>
      </c>
      <c r="W84" s="347">
        <f t="shared" ref="W84:W89" si="67">+S84+Q84</f>
        <v>1</v>
      </c>
      <c r="X84" s="347"/>
      <c r="Y84" s="347"/>
      <c r="Z84" s="347"/>
      <c r="AA84" s="347"/>
      <c r="AB84" s="106"/>
      <c r="AC84" s="106"/>
      <c r="AD84" s="628"/>
      <c r="AE84" s="623"/>
    </row>
    <row r="85" spans="1:31" s="343" customFormat="1" ht="22.5" customHeight="1">
      <c r="A85" s="342" t="s">
        <v>140</v>
      </c>
      <c r="B85" s="337">
        <f t="shared" ref="B85:P85" si="68">+B24+B26+B35+B72+B84</f>
        <v>85266000.004666656</v>
      </c>
      <c r="C85" s="337">
        <f t="shared" si="68"/>
        <v>1023192000.056</v>
      </c>
      <c r="D85" s="337">
        <f t="shared" si="68"/>
        <v>70305922</v>
      </c>
      <c r="E85" s="337">
        <f t="shared" si="68"/>
        <v>75993895</v>
      </c>
      <c r="F85" s="337">
        <f t="shared" si="68"/>
        <v>75101994</v>
      </c>
      <c r="G85" s="337">
        <f t="shared" si="68"/>
        <v>68291875</v>
      </c>
      <c r="H85" s="337">
        <f t="shared" si="68"/>
        <v>76365247</v>
      </c>
      <c r="I85" s="337">
        <f t="shared" si="68"/>
        <v>80074394</v>
      </c>
      <c r="J85" s="337">
        <f t="shared" si="68"/>
        <v>0</v>
      </c>
      <c r="K85" s="337">
        <f t="shared" si="68"/>
        <v>0</v>
      </c>
      <c r="L85" s="337">
        <f t="shared" si="68"/>
        <v>0</v>
      </c>
      <c r="M85" s="337">
        <f t="shared" si="68"/>
        <v>0</v>
      </c>
      <c r="N85" s="337">
        <f t="shared" si="68"/>
        <v>0</v>
      </c>
      <c r="O85" s="337">
        <f t="shared" si="68"/>
        <v>0</v>
      </c>
      <c r="P85" s="337">
        <f t="shared" si="68"/>
        <v>446133327</v>
      </c>
      <c r="Q85" s="348">
        <f t="shared" si="50"/>
        <v>0.43602112504357227</v>
      </c>
      <c r="R85" s="337">
        <f>+R24+R26+R35+R72+R84</f>
        <v>577058673.05599999</v>
      </c>
      <c r="S85" s="397">
        <f t="shared" si="52"/>
        <v>0.56397887495642773</v>
      </c>
      <c r="T85" s="411">
        <f t="shared" ref="T85:T86" si="69">+B85*$T$3</f>
        <v>255798000.01399997</v>
      </c>
      <c r="U85" s="337">
        <f t="shared" ref="U85:U90" si="70">+P85</f>
        <v>446133327</v>
      </c>
      <c r="V85" s="412">
        <f t="shared" si="66"/>
        <v>1.7440845001742893</v>
      </c>
      <c r="W85" s="347">
        <f t="shared" si="67"/>
        <v>1</v>
      </c>
      <c r="X85" s="845"/>
      <c r="Y85" s="347"/>
      <c r="Z85" s="347"/>
      <c r="AA85" s="347"/>
      <c r="AB85" s="106"/>
      <c r="AC85" s="106"/>
      <c r="AD85" s="628"/>
      <c r="AE85" s="623"/>
    </row>
    <row r="86" spans="1:31" ht="15">
      <c r="A86" s="96" t="s">
        <v>141</v>
      </c>
      <c r="B86" s="106">
        <f>ROUND(+B85*1%,-3)</f>
        <v>853000</v>
      </c>
      <c r="C86" s="106">
        <f t="shared" ref="C86" si="71">+B86*12</f>
        <v>10236000</v>
      </c>
      <c r="D86" s="106">
        <v>812228</v>
      </c>
      <c r="E86" s="106">
        <v>812228</v>
      </c>
      <c r="F86" s="106">
        <v>812228</v>
      </c>
      <c r="G86" s="106">
        <v>812228</v>
      </c>
      <c r="H86" s="106">
        <v>812228</v>
      </c>
      <c r="I86" s="106">
        <v>1056860</v>
      </c>
      <c r="J86" s="106"/>
      <c r="K86" s="106"/>
      <c r="L86" s="106"/>
      <c r="M86" s="106"/>
      <c r="N86" s="106"/>
      <c r="O86" s="106"/>
      <c r="P86" s="106">
        <f t="shared" ref="P86:P87" si="72">SUM(D86:O86)</f>
        <v>5118000</v>
      </c>
      <c r="Q86" s="344">
        <f t="shared" si="50"/>
        <v>0.5</v>
      </c>
      <c r="R86" s="346">
        <f>+C86-P86</f>
        <v>5118000</v>
      </c>
      <c r="S86" s="395">
        <f t="shared" si="52"/>
        <v>0.5</v>
      </c>
      <c r="T86" s="415">
        <f t="shared" si="69"/>
        <v>2559000</v>
      </c>
      <c r="U86" s="84">
        <f t="shared" si="70"/>
        <v>5118000</v>
      </c>
      <c r="V86" s="403">
        <f t="shared" si="66"/>
        <v>2</v>
      </c>
      <c r="W86" s="347">
        <f t="shared" si="67"/>
        <v>1</v>
      </c>
      <c r="X86" s="90"/>
      <c r="Y86" s="347"/>
      <c r="Z86" s="347"/>
      <c r="AA86" s="347"/>
      <c r="AB86" s="106"/>
      <c r="AC86" s="106"/>
      <c r="AD86" s="628"/>
      <c r="AE86" s="623"/>
    </row>
    <row r="87" spans="1:31" ht="15.75">
      <c r="A87" s="96" t="s">
        <v>527</v>
      </c>
      <c r="B87" s="106"/>
      <c r="C87" s="106"/>
      <c r="D87" s="106"/>
      <c r="E87" s="106"/>
      <c r="F87" s="106"/>
      <c r="G87" s="106"/>
      <c r="H87" s="106"/>
      <c r="I87" s="106"/>
      <c r="J87" s="106"/>
      <c r="K87" s="106"/>
      <c r="L87" s="106"/>
      <c r="M87" s="106"/>
      <c r="N87" s="106"/>
      <c r="O87" s="106"/>
      <c r="P87" s="106">
        <f t="shared" si="72"/>
        <v>0</v>
      </c>
      <c r="Q87" s="344"/>
      <c r="R87" s="346"/>
      <c r="S87" s="395"/>
      <c r="T87" s="415"/>
      <c r="U87" s="84"/>
      <c r="V87" s="403"/>
      <c r="W87" s="347"/>
      <c r="X87" s="90"/>
      <c r="Y87" s="347"/>
      <c r="Z87" s="347"/>
      <c r="AA87" s="347"/>
      <c r="AB87" s="106"/>
      <c r="AC87" s="106"/>
      <c r="AD87" s="629"/>
      <c r="AE87" s="623"/>
    </row>
    <row r="88" spans="1:31" s="343" customFormat="1" ht="22.5" customHeight="1">
      <c r="A88" s="342" t="s">
        <v>142</v>
      </c>
      <c r="B88" s="337">
        <f>SUM(B86:B86)</f>
        <v>853000</v>
      </c>
      <c r="C88" s="337">
        <f t="shared" ref="C88:N88" si="73">SUM(C86:C86)</f>
        <v>10236000</v>
      </c>
      <c r="D88" s="337">
        <f t="shared" ref="D88:G88" si="74">SUM(D86:D86)</f>
        <v>812228</v>
      </c>
      <c r="E88" s="337">
        <f t="shared" si="74"/>
        <v>812228</v>
      </c>
      <c r="F88" s="337">
        <f t="shared" si="74"/>
        <v>812228</v>
      </c>
      <c r="G88" s="337">
        <f t="shared" si="74"/>
        <v>812228</v>
      </c>
      <c r="H88" s="337">
        <f t="shared" si="73"/>
        <v>812228</v>
      </c>
      <c r="I88" s="337">
        <f t="shared" si="73"/>
        <v>1056860</v>
      </c>
      <c r="J88" s="337">
        <f t="shared" si="73"/>
        <v>0</v>
      </c>
      <c r="K88" s="337">
        <f t="shared" si="73"/>
        <v>0</v>
      </c>
      <c r="L88" s="337">
        <f t="shared" si="73"/>
        <v>0</v>
      </c>
      <c r="M88" s="337">
        <f t="shared" si="73"/>
        <v>0</v>
      </c>
      <c r="N88" s="337">
        <f t="shared" si="73"/>
        <v>0</v>
      </c>
      <c r="O88" s="337">
        <f>+O86+O87</f>
        <v>0</v>
      </c>
      <c r="P88" s="337">
        <f>+P86+P87</f>
        <v>5118000</v>
      </c>
      <c r="Q88" s="348">
        <f>+P88/C88</f>
        <v>0.5</v>
      </c>
      <c r="R88" s="346">
        <f>+C88-P88</f>
        <v>5118000</v>
      </c>
      <c r="S88" s="397">
        <f>+R88/C88</f>
        <v>0.5</v>
      </c>
      <c r="T88" s="411">
        <f>+B88*$T$3</f>
        <v>2559000</v>
      </c>
      <c r="U88" s="337">
        <f t="shared" si="70"/>
        <v>5118000</v>
      </c>
      <c r="V88" s="412">
        <f t="shared" si="66"/>
        <v>2</v>
      </c>
      <c r="W88" s="347">
        <f t="shared" si="67"/>
        <v>1</v>
      </c>
      <c r="X88" s="347"/>
      <c r="Y88" s="347"/>
      <c r="Z88" s="347"/>
      <c r="AA88" s="347"/>
      <c r="AB88" s="106"/>
      <c r="AC88" s="106"/>
      <c r="AD88" s="629"/>
      <c r="AE88" s="623"/>
    </row>
    <row r="89" spans="1:31" s="789" customFormat="1" ht="15">
      <c r="A89" s="780" t="s">
        <v>143</v>
      </c>
      <c r="B89" s="781">
        <f t="shared" ref="B89:P89" si="75">+B24+B26+B35+B72+B84+B88</f>
        <v>86119000.004666656</v>
      </c>
      <c r="C89" s="781">
        <f t="shared" si="75"/>
        <v>1033428000.056</v>
      </c>
      <c r="D89" s="781">
        <f t="shared" si="75"/>
        <v>71118150</v>
      </c>
      <c r="E89" s="781">
        <f t="shared" si="75"/>
        <v>76806123</v>
      </c>
      <c r="F89" s="781">
        <f t="shared" si="75"/>
        <v>75914222</v>
      </c>
      <c r="G89" s="781">
        <f t="shared" si="75"/>
        <v>69104103</v>
      </c>
      <c r="H89" s="781">
        <f t="shared" si="75"/>
        <v>77177475</v>
      </c>
      <c r="I89" s="781">
        <f t="shared" si="75"/>
        <v>81131254</v>
      </c>
      <c r="J89" s="781">
        <f t="shared" si="75"/>
        <v>0</v>
      </c>
      <c r="K89" s="781">
        <f t="shared" si="75"/>
        <v>0</v>
      </c>
      <c r="L89" s="781">
        <f t="shared" si="75"/>
        <v>0</v>
      </c>
      <c r="M89" s="781">
        <f t="shared" si="75"/>
        <v>0</v>
      </c>
      <c r="N89" s="781">
        <f t="shared" si="75"/>
        <v>0</v>
      </c>
      <c r="O89" s="781">
        <f t="shared" si="75"/>
        <v>0</v>
      </c>
      <c r="P89" s="781">
        <f t="shared" si="75"/>
        <v>451251327</v>
      </c>
      <c r="Q89" s="793">
        <f>+P89/C89</f>
        <v>0.43665482934035788</v>
      </c>
      <c r="R89" s="783">
        <f>+C89-P89</f>
        <v>582176673.05599999</v>
      </c>
      <c r="S89" s="794">
        <f>+R89/C89</f>
        <v>0.56334517065964218</v>
      </c>
      <c r="T89" s="785">
        <f>+B89*$T$3</f>
        <v>258357000.01399997</v>
      </c>
      <c r="U89" s="786">
        <f t="shared" si="70"/>
        <v>451251327</v>
      </c>
      <c r="V89" s="795">
        <f t="shared" si="66"/>
        <v>1.7466193173614315</v>
      </c>
      <c r="W89" s="788">
        <f t="shared" si="67"/>
        <v>1</v>
      </c>
      <c r="X89" s="788"/>
      <c r="Y89" s="788"/>
      <c r="Z89" s="788"/>
      <c r="AA89" s="814"/>
      <c r="AB89" s="106"/>
      <c r="AC89" s="790"/>
      <c r="AD89" s="796"/>
    </row>
    <row r="90" spans="1:31" s="343" customFormat="1" ht="22.5" customHeight="1" thickBot="1">
      <c r="A90" s="342" t="s">
        <v>144</v>
      </c>
      <c r="B90" s="337">
        <f t="shared" ref="B90:P90" si="76">+B17-B89</f>
        <v>-4.6666562557220459E-3</v>
      </c>
      <c r="C90" s="337">
        <f t="shared" si="76"/>
        <v>-5.5999994277954102E-2</v>
      </c>
      <c r="D90" s="337">
        <f t="shared" si="76"/>
        <v>15530750</v>
      </c>
      <c r="E90" s="337">
        <f t="shared" si="76"/>
        <v>10155777</v>
      </c>
      <c r="F90" s="337">
        <f t="shared" si="76"/>
        <v>10689828</v>
      </c>
      <c r="G90" s="337">
        <f t="shared" si="76"/>
        <v>17369847</v>
      </c>
      <c r="H90" s="337">
        <f t="shared" si="76"/>
        <v>9229125</v>
      </c>
      <c r="I90" s="337">
        <f t="shared" si="76"/>
        <v>4872246</v>
      </c>
      <c r="J90" s="337">
        <f t="shared" si="76"/>
        <v>0</v>
      </c>
      <c r="K90" s="337">
        <f t="shared" si="76"/>
        <v>0</v>
      </c>
      <c r="L90" s="337">
        <f t="shared" si="76"/>
        <v>0</v>
      </c>
      <c r="M90" s="337">
        <f t="shared" si="76"/>
        <v>0</v>
      </c>
      <c r="N90" s="337">
        <f t="shared" si="76"/>
        <v>0</v>
      </c>
      <c r="O90" s="337">
        <f t="shared" si="76"/>
        <v>0</v>
      </c>
      <c r="P90" s="337">
        <f t="shared" si="76"/>
        <v>67847573</v>
      </c>
      <c r="Q90" s="348"/>
      <c r="R90" s="346"/>
      <c r="S90" s="397"/>
      <c r="T90" s="416"/>
      <c r="U90" s="417">
        <f t="shared" si="70"/>
        <v>67847573</v>
      </c>
      <c r="V90" s="418"/>
      <c r="W90" s="347"/>
      <c r="X90" s="347"/>
      <c r="Y90" s="347"/>
      <c r="Z90" s="347"/>
      <c r="AA90" s="347"/>
      <c r="AB90" s="106"/>
      <c r="AC90" s="106"/>
      <c r="AD90" s="628"/>
    </row>
    <row r="91" spans="1:31" ht="15.75">
      <c r="B91" s="25"/>
      <c r="C91" s="25"/>
      <c r="D91" s="25"/>
      <c r="E91" s="25"/>
      <c r="F91" s="25"/>
      <c r="G91" s="25"/>
      <c r="H91" s="25"/>
      <c r="I91" s="25"/>
      <c r="J91" s="25"/>
      <c r="K91" s="25"/>
      <c r="L91" s="25"/>
      <c r="M91" s="25"/>
      <c r="N91" s="25"/>
      <c r="O91" s="25"/>
      <c r="P91" s="25"/>
      <c r="R91" s="23"/>
      <c r="T91" s="23"/>
      <c r="U91" s="23"/>
      <c r="AB91" s="106"/>
      <c r="AC91" s="106"/>
      <c r="AD91" s="629"/>
    </row>
    <row r="92" spans="1:31" ht="15.75">
      <c r="B92" s="25"/>
      <c r="C92" s="25"/>
      <c r="D92" s="25"/>
      <c r="E92" s="25"/>
      <c r="F92" s="25"/>
      <c r="G92" s="25"/>
      <c r="H92" s="25"/>
      <c r="I92" s="25"/>
      <c r="J92" s="25"/>
      <c r="K92" s="25"/>
      <c r="L92" s="25"/>
      <c r="M92" s="25"/>
      <c r="N92" s="25"/>
      <c r="O92" s="25"/>
      <c r="P92" s="25"/>
      <c r="R92" s="92"/>
      <c r="T92" s="92"/>
      <c r="U92" s="92"/>
      <c r="AB92" s="106"/>
      <c r="AC92" s="106"/>
      <c r="AD92" s="629"/>
    </row>
    <row r="93" spans="1:31" ht="15.75">
      <c r="B93" s="92"/>
      <c r="C93" s="92"/>
      <c r="D93" s="92"/>
      <c r="E93" s="92"/>
      <c r="F93" s="92"/>
      <c r="G93" s="92"/>
      <c r="H93" s="92"/>
      <c r="I93" s="92"/>
      <c r="J93" s="92"/>
      <c r="K93" s="92"/>
      <c r="L93" s="92"/>
      <c r="M93" s="92"/>
      <c r="N93" s="92"/>
      <c r="O93" s="92"/>
      <c r="P93" s="92"/>
      <c r="R93" s="23"/>
      <c r="T93" s="23"/>
      <c r="U93" s="23"/>
      <c r="AB93" s="106"/>
      <c r="AC93" s="106"/>
      <c r="AD93" s="630"/>
    </row>
    <row r="94" spans="1:31">
      <c r="B94" s="25"/>
      <c r="D94" s="25"/>
      <c r="AB94" s="106"/>
      <c r="AC94" s="106"/>
    </row>
    <row r="95" spans="1:31">
      <c r="AB95" s="106"/>
      <c r="AC95" s="106"/>
    </row>
    <row r="96" spans="1:31">
      <c r="AB96" s="106"/>
      <c r="AC96" s="106"/>
    </row>
    <row r="97" spans="1:30">
      <c r="AB97" s="106"/>
      <c r="AC97" s="106"/>
    </row>
    <row r="98" spans="1:30">
      <c r="W98" s="105"/>
      <c r="X98" s="105"/>
      <c r="Y98" s="105"/>
      <c r="Z98" s="105"/>
      <c r="AA98" s="105"/>
      <c r="AB98" s="106"/>
      <c r="AC98" s="106"/>
    </row>
    <row r="99" spans="1:30">
      <c r="W99" s="105"/>
      <c r="X99" s="105"/>
      <c r="Y99" s="105"/>
      <c r="Z99" s="105"/>
      <c r="AA99" s="105"/>
      <c r="AB99" s="106"/>
      <c r="AC99" s="106"/>
    </row>
    <row r="100" spans="1:30">
      <c r="W100" s="105"/>
      <c r="X100" s="105"/>
      <c r="Y100" s="105"/>
      <c r="Z100" s="105"/>
      <c r="AA100" s="105"/>
      <c r="AB100" s="106"/>
      <c r="AC100" s="106"/>
    </row>
    <row r="101" spans="1:30">
      <c r="W101" s="105"/>
      <c r="X101" s="105"/>
      <c r="Y101" s="105"/>
      <c r="Z101" s="105"/>
      <c r="AA101" s="105"/>
      <c r="AB101" s="106"/>
      <c r="AC101" s="106"/>
    </row>
    <row r="102" spans="1:30">
      <c r="W102" s="105"/>
      <c r="X102" s="105"/>
      <c r="Y102" s="105"/>
      <c r="Z102" s="105"/>
      <c r="AA102" s="105"/>
      <c r="AB102" s="106"/>
      <c r="AC102" s="106"/>
    </row>
    <row r="103" spans="1:30">
      <c r="W103" s="105"/>
      <c r="X103" s="105"/>
      <c r="Y103" s="105"/>
      <c r="Z103" s="105"/>
      <c r="AA103" s="105"/>
      <c r="AB103" s="106"/>
      <c r="AC103" s="106"/>
    </row>
    <row r="104" spans="1:30">
      <c r="W104" s="105"/>
      <c r="X104" s="105"/>
      <c r="Y104" s="105"/>
      <c r="Z104" s="105"/>
      <c r="AA104" s="105"/>
      <c r="AB104" s="106"/>
      <c r="AC104" s="106"/>
    </row>
    <row r="105" spans="1:30">
      <c r="AC105" s="106"/>
    </row>
    <row r="106" spans="1:30">
      <c r="AC106" s="106"/>
    </row>
    <row r="109" spans="1:30">
      <c r="R109" s="25"/>
      <c r="T109" s="25"/>
      <c r="U109" s="25"/>
    </row>
    <row r="110" spans="1:30" s="354" customFormat="1">
      <c r="A110" s="26"/>
      <c r="B110" s="26"/>
      <c r="C110" s="26"/>
      <c r="D110" s="26"/>
      <c r="E110" s="26"/>
      <c r="F110" s="26"/>
      <c r="G110" s="26"/>
      <c r="H110" s="26"/>
      <c r="I110" s="26"/>
      <c r="J110" s="26"/>
      <c r="K110" s="26"/>
      <c r="L110" s="26"/>
      <c r="M110" s="26"/>
      <c r="N110" s="26"/>
      <c r="O110" s="26"/>
      <c r="P110" s="26"/>
      <c r="Q110" s="351"/>
      <c r="R110" s="25"/>
      <c r="T110" s="25"/>
      <c r="U110" s="25"/>
      <c r="W110"/>
      <c r="X110"/>
      <c r="Y110"/>
      <c r="Z110"/>
      <c r="AA110"/>
      <c r="AB110" s="631"/>
      <c r="AC110" s="631"/>
      <c r="AD110" s="631"/>
    </row>
  </sheetData>
  <sortState ref="A37:S65">
    <sortCondition ref="A37:A65"/>
  </sortState>
  <mergeCells count="1">
    <mergeCell ref="A4:A5"/>
  </mergeCells>
  <printOptions horizontalCentered="1"/>
  <pageMargins left="0.25" right="0.25" top="0.75" bottom="0.75" header="0.3" footer="0.3"/>
  <pageSetup scale="98"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4"/>
  <sheetViews>
    <sheetView topLeftCell="A37" workbookViewId="0">
      <selection activeCell="J68" sqref="J68"/>
    </sheetView>
  </sheetViews>
  <sheetFormatPr baseColWidth="10" defaultRowHeight="15"/>
  <cols>
    <col min="1" max="2" width="11.42578125" style="650"/>
    <col min="3" max="3" width="41.85546875" style="650" customWidth="1"/>
    <col min="4" max="5" width="11.42578125" style="650"/>
    <col min="6" max="6" width="14.140625" style="683" bestFit="1" customWidth="1"/>
    <col min="7" max="8" width="15.42578125" style="683" bestFit="1" customWidth="1"/>
    <col min="9" max="9" width="6.28515625" style="650" bestFit="1" customWidth="1"/>
    <col min="10" max="10" width="15" style="650" bestFit="1" customWidth="1"/>
    <col min="11" max="11" width="22" style="650" bestFit="1" customWidth="1"/>
    <col min="12" max="12" width="11.85546875" style="650" bestFit="1" customWidth="1"/>
    <col min="13" max="16384" width="11.42578125" style="650"/>
  </cols>
  <sheetData>
    <row r="1" spans="1:13" ht="15.75" customHeight="1">
      <c r="A1" s="646" t="s">
        <v>793</v>
      </c>
      <c r="B1" s="647"/>
      <c r="C1" s="647"/>
      <c r="D1" s="647"/>
      <c r="E1" s="647"/>
      <c r="F1" s="648"/>
      <c r="G1" s="648"/>
      <c r="H1" s="648"/>
      <c r="I1" s="647"/>
      <c r="J1" s="647"/>
      <c r="K1" s="647"/>
      <c r="L1" s="647"/>
      <c r="M1" s="649"/>
    </row>
    <row r="2" spans="1:13" ht="15.75" customHeight="1">
      <c r="A2" s="646" t="s">
        <v>794</v>
      </c>
      <c r="B2" s="647"/>
      <c r="C2" s="647"/>
      <c r="D2" s="647"/>
      <c r="E2" s="647"/>
      <c r="F2" s="648"/>
      <c r="G2" s="648"/>
      <c r="H2" s="648"/>
      <c r="I2" s="647"/>
      <c r="J2" s="647"/>
      <c r="K2" s="647"/>
      <c r="L2" s="647"/>
      <c r="M2" s="649"/>
    </row>
    <row r="3" spans="1:13" ht="15" customHeight="1">
      <c r="A3" s="651" t="s">
        <v>795</v>
      </c>
      <c r="B3" s="652"/>
      <c r="C3" s="652"/>
      <c r="D3" s="652"/>
      <c r="E3" s="652"/>
      <c r="F3" s="653"/>
      <c r="G3" s="653"/>
      <c r="H3" s="653"/>
      <c r="I3" s="652"/>
      <c r="J3" s="652"/>
      <c r="K3" s="652"/>
      <c r="L3" s="652"/>
      <c r="M3" s="652"/>
    </row>
    <row r="4" spans="1:13" ht="15.75" customHeight="1">
      <c r="A4" s="649"/>
      <c r="B4" s="649"/>
      <c r="C4" s="654"/>
      <c r="D4" s="649"/>
      <c r="E4" s="649"/>
      <c r="F4" s="655"/>
      <c r="G4" s="655"/>
      <c r="H4" s="655"/>
      <c r="I4" s="649"/>
      <c r="J4" s="649"/>
      <c r="K4" s="649"/>
      <c r="L4" s="649"/>
      <c r="M4" s="649"/>
    </row>
    <row r="5" spans="1:13" ht="15.75">
      <c r="A5" s="649"/>
      <c r="B5" s="649"/>
      <c r="C5" s="654"/>
      <c r="D5" s="656" t="s">
        <v>796</v>
      </c>
      <c r="E5" s="649"/>
      <c r="F5" s="655"/>
      <c r="G5" s="655"/>
      <c r="H5" s="655"/>
      <c r="I5" s="649"/>
      <c r="J5" s="649"/>
      <c r="K5" s="649"/>
      <c r="L5" s="649"/>
      <c r="M5" s="649"/>
    </row>
    <row r="6" spans="1:13" ht="15.75" customHeight="1">
      <c r="A6" s="656" t="s">
        <v>797</v>
      </c>
      <c r="B6" s="654"/>
      <c r="C6" s="654" t="s">
        <v>798</v>
      </c>
      <c r="D6" s="654"/>
      <c r="E6" s="657" t="s">
        <v>799</v>
      </c>
      <c r="F6" s="658"/>
      <c r="G6" s="655"/>
      <c r="H6" s="658"/>
      <c r="I6" s="659"/>
      <c r="J6" s="659"/>
      <c r="K6" s="649"/>
      <c r="L6" s="649"/>
      <c r="M6" s="649"/>
    </row>
    <row r="7" spans="1:13" ht="15.75" customHeight="1">
      <c r="A7" s="660">
        <v>43868</v>
      </c>
      <c r="B7" s="661" t="s">
        <v>800</v>
      </c>
      <c r="C7" s="661" t="s">
        <v>801</v>
      </c>
      <c r="D7" s="661" t="s">
        <v>802</v>
      </c>
      <c r="E7" s="649"/>
      <c r="F7" s="662">
        <v>3300000</v>
      </c>
      <c r="G7" s="662">
        <v>0</v>
      </c>
      <c r="H7" s="662">
        <v>6000022</v>
      </c>
      <c r="I7" s="663"/>
      <c r="J7" s="663"/>
      <c r="K7" s="663"/>
      <c r="L7" s="663" t="s">
        <v>803</v>
      </c>
      <c r="M7" s="649" t="s">
        <v>905</v>
      </c>
    </row>
    <row r="8" spans="1:13" ht="15.75" customHeight="1">
      <c r="A8" s="664">
        <v>43874</v>
      </c>
      <c r="B8" s="665" t="s">
        <v>804</v>
      </c>
      <c r="C8" s="665" t="s">
        <v>805</v>
      </c>
      <c r="D8" s="665" t="s">
        <v>806</v>
      </c>
      <c r="E8" s="666"/>
      <c r="F8" s="667">
        <v>150000</v>
      </c>
      <c r="G8" s="667">
        <v>0</v>
      </c>
      <c r="H8" s="667">
        <v>5850022</v>
      </c>
      <c r="I8" s="663"/>
      <c r="J8" s="663"/>
      <c r="K8" s="663" t="s">
        <v>807</v>
      </c>
      <c r="L8" s="663" t="s">
        <v>808</v>
      </c>
      <c r="M8" s="684">
        <v>43891</v>
      </c>
    </row>
    <row r="9" spans="1:13" ht="15.75" customHeight="1">
      <c r="A9" s="668">
        <v>43878</v>
      </c>
      <c r="B9" s="669" t="s">
        <v>809</v>
      </c>
      <c r="C9" s="669" t="s">
        <v>810</v>
      </c>
      <c r="D9" s="669" t="s">
        <v>811</v>
      </c>
      <c r="E9" s="670"/>
      <c r="F9" s="671">
        <v>15000</v>
      </c>
      <c r="G9" s="671">
        <v>0</v>
      </c>
      <c r="H9" s="671">
        <v>5835022</v>
      </c>
      <c r="I9" s="672"/>
      <c r="J9" s="672"/>
      <c r="K9" s="672" t="s">
        <v>812</v>
      </c>
      <c r="L9" s="672" t="s">
        <v>813</v>
      </c>
      <c r="M9" s="684">
        <v>43891</v>
      </c>
    </row>
    <row r="10" spans="1:13" ht="15.75" customHeight="1">
      <c r="A10" s="668">
        <v>43878</v>
      </c>
      <c r="B10" s="669" t="s">
        <v>809</v>
      </c>
      <c r="C10" s="669" t="s">
        <v>814</v>
      </c>
      <c r="D10" s="669" t="s">
        <v>811</v>
      </c>
      <c r="E10" s="670"/>
      <c r="F10" s="671">
        <v>5000</v>
      </c>
      <c r="G10" s="671">
        <v>0</v>
      </c>
      <c r="H10" s="671">
        <v>5830022</v>
      </c>
      <c r="I10" s="672"/>
      <c r="J10" s="672"/>
      <c r="K10" s="672" t="s">
        <v>812</v>
      </c>
      <c r="L10" s="672" t="s">
        <v>813</v>
      </c>
      <c r="M10" s="684">
        <v>43891</v>
      </c>
    </row>
    <row r="11" spans="1:13" ht="15.75" customHeight="1">
      <c r="A11" s="668">
        <v>43878</v>
      </c>
      <c r="B11" s="669" t="s">
        <v>809</v>
      </c>
      <c r="C11" s="669" t="s">
        <v>815</v>
      </c>
      <c r="D11" s="669" t="s">
        <v>811</v>
      </c>
      <c r="E11" s="670"/>
      <c r="F11" s="671">
        <v>75000</v>
      </c>
      <c r="G11" s="671">
        <v>0</v>
      </c>
      <c r="H11" s="671">
        <v>5755022</v>
      </c>
      <c r="I11" s="672"/>
      <c r="J11" s="672"/>
      <c r="K11" s="672" t="s">
        <v>812</v>
      </c>
      <c r="L11" s="672" t="s">
        <v>813</v>
      </c>
      <c r="M11" s="684">
        <v>43891</v>
      </c>
    </row>
    <row r="12" spans="1:13" ht="15.75" customHeight="1">
      <c r="A12" s="668">
        <v>43878</v>
      </c>
      <c r="B12" s="669" t="s">
        <v>809</v>
      </c>
      <c r="C12" s="669" t="s">
        <v>816</v>
      </c>
      <c r="D12" s="669" t="s">
        <v>811</v>
      </c>
      <c r="E12" s="670"/>
      <c r="F12" s="671">
        <v>8925</v>
      </c>
      <c r="G12" s="671">
        <v>0</v>
      </c>
      <c r="H12" s="671">
        <v>5746097</v>
      </c>
      <c r="I12" s="672"/>
      <c r="J12" s="672"/>
      <c r="K12" s="672" t="s">
        <v>812</v>
      </c>
      <c r="L12" s="672" t="s">
        <v>813</v>
      </c>
      <c r="M12" s="684">
        <v>43891</v>
      </c>
    </row>
    <row r="13" spans="1:13" ht="15.75" customHeight="1">
      <c r="A13" s="668">
        <v>43878</v>
      </c>
      <c r="B13" s="669" t="s">
        <v>809</v>
      </c>
      <c r="C13" s="669" t="s">
        <v>817</v>
      </c>
      <c r="D13" s="669" t="s">
        <v>811</v>
      </c>
      <c r="E13" s="670"/>
      <c r="F13" s="671">
        <v>6000</v>
      </c>
      <c r="G13" s="671">
        <v>0</v>
      </c>
      <c r="H13" s="671">
        <v>5740097</v>
      </c>
      <c r="I13" s="672"/>
      <c r="J13" s="672"/>
      <c r="K13" s="672" t="s">
        <v>812</v>
      </c>
      <c r="L13" s="672" t="s">
        <v>813</v>
      </c>
      <c r="M13" s="684">
        <v>43891</v>
      </c>
    </row>
    <row r="14" spans="1:13" ht="15.75" customHeight="1">
      <c r="A14" s="668">
        <v>43878</v>
      </c>
      <c r="B14" s="669" t="s">
        <v>809</v>
      </c>
      <c r="C14" s="669" t="s">
        <v>818</v>
      </c>
      <c r="D14" s="669" t="s">
        <v>811</v>
      </c>
      <c r="E14" s="670"/>
      <c r="F14" s="671">
        <v>14994</v>
      </c>
      <c r="G14" s="671">
        <v>0</v>
      </c>
      <c r="H14" s="671">
        <v>5725103</v>
      </c>
      <c r="I14" s="672"/>
      <c r="J14" s="672"/>
      <c r="K14" s="672" t="s">
        <v>812</v>
      </c>
      <c r="L14" s="672" t="s">
        <v>813</v>
      </c>
      <c r="M14" s="684">
        <v>43891</v>
      </c>
    </row>
    <row r="15" spans="1:13" ht="15.75" customHeight="1">
      <c r="A15" s="668">
        <v>43878</v>
      </c>
      <c r="B15" s="669" t="s">
        <v>809</v>
      </c>
      <c r="C15" s="669" t="s">
        <v>816</v>
      </c>
      <c r="D15" s="669" t="s">
        <v>819</v>
      </c>
      <c r="E15" s="670"/>
      <c r="F15" s="671">
        <v>15411</v>
      </c>
      <c r="G15" s="671">
        <v>0</v>
      </c>
      <c r="H15" s="671">
        <v>5709692</v>
      </c>
      <c r="I15" s="672"/>
      <c r="J15" s="672"/>
      <c r="K15" s="672" t="s">
        <v>812</v>
      </c>
      <c r="L15" s="672" t="s">
        <v>813</v>
      </c>
      <c r="M15" s="684">
        <v>43891</v>
      </c>
    </row>
    <row r="16" spans="1:13" ht="15.75" customHeight="1">
      <c r="A16" s="668">
        <v>43878</v>
      </c>
      <c r="B16" s="669" t="s">
        <v>809</v>
      </c>
      <c r="C16" s="669" t="s">
        <v>820</v>
      </c>
      <c r="D16" s="669" t="s">
        <v>821</v>
      </c>
      <c r="E16" s="670"/>
      <c r="F16" s="671">
        <v>1300</v>
      </c>
      <c r="G16" s="671">
        <v>0</v>
      </c>
      <c r="H16" s="671">
        <v>5708392</v>
      </c>
      <c r="I16" s="672"/>
      <c r="J16" s="672"/>
      <c r="K16" s="672" t="s">
        <v>812</v>
      </c>
      <c r="L16" s="672" t="s">
        <v>813</v>
      </c>
      <c r="M16" s="684">
        <v>43891</v>
      </c>
    </row>
    <row r="17" spans="1:13" ht="15.75" customHeight="1">
      <c r="A17" s="668">
        <v>43878</v>
      </c>
      <c r="B17" s="669" t="s">
        <v>809</v>
      </c>
      <c r="C17" s="669" t="s">
        <v>822</v>
      </c>
      <c r="D17" s="669" t="s">
        <v>823</v>
      </c>
      <c r="E17" s="670"/>
      <c r="F17" s="671">
        <v>219000</v>
      </c>
      <c r="G17" s="671">
        <v>0</v>
      </c>
      <c r="H17" s="671">
        <v>5489392</v>
      </c>
      <c r="I17" s="672"/>
      <c r="J17" s="672"/>
      <c r="K17" s="672" t="s">
        <v>812</v>
      </c>
      <c r="L17" s="672" t="s">
        <v>813</v>
      </c>
      <c r="M17" s="684">
        <v>43891</v>
      </c>
    </row>
    <row r="18" spans="1:13" ht="15.75" customHeight="1">
      <c r="A18" s="668">
        <v>43878</v>
      </c>
      <c r="B18" s="669" t="s">
        <v>809</v>
      </c>
      <c r="C18" s="669" t="s">
        <v>824</v>
      </c>
      <c r="D18" s="669" t="s">
        <v>823</v>
      </c>
      <c r="E18" s="670"/>
      <c r="F18" s="671">
        <v>51000</v>
      </c>
      <c r="G18" s="671">
        <v>0</v>
      </c>
      <c r="H18" s="671">
        <v>5438392</v>
      </c>
      <c r="I18" s="672"/>
      <c r="J18" s="672"/>
      <c r="K18" s="672" t="s">
        <v>812</v>
      </c>
      <c r="L18" s="672" t="s">
        <v>813</v>
      </c>
      <c r="M18" s="684">
        <v>43891</v>
      </c>
    </row>
    <row r="19" spans="1:13" ht="15.75" customHeight="1">
      <c r="A19" s="668">
        <v>43878</v>
      </c>
      <c r="B19" s="669" t="s">
        <v>809</v>
      </c>
      <c r="C19" s="669" t="s">
        <v>820</v>
      </c>
      <c r="D19" s="669" t="s">
        <v>825</v>
      </c>
      <c r="E19" s="670"/>
      <c r="F19" s="671">
        <v>59000</v>
      </c>
      <c r="G19" s="671">
        <v>0</v>
      </c>
      <c r="H19" s="671">
        <v>5379392</v>
      </c>
      <c r="I19" s="672"/>
      <c r="J19" s="672"/>
      <c r="K19" s="672" t="s">
        <v>812</v>
      </c>
      <c r="L19" s="672" t="s">
        <v>813</v>
      </c>
      <c r="M19" s="684">
        <v>43891</v>
      </c>
    </row>
    <row r="20" spans="1:13" ht="15.75" customHeight="1">
      <c r="A20" s="668">
        <v>43878</v>
      </c>
      <c r="B20" s="669" t="s">
        <v>809</v>
      </c>
      <c r="C20" s="669" t="s">
        <v>826</v>
      </c>
      <c r="D20" s="669" t="s">
        <v>827</v>
      </c>
      <c r="E20" s="670"/>
      <c r="F20" s="671">
        <v>22990</v>
      </c>
      <c r="G20" s="671">
        <v>0</v>
      </c>
      <c r="H20" s="671">
        <v>5356402</v>
      </c>
      <c r="I20" s="672"/>
      <c r="J20" s="672"/>
      <c r="K20" s="672" t="s">
        <v>812</v>
      </c>
      <c r="L20" s="672" t="s">
        <v>813</v>
      </c>
      <c r="M20" s="684">
        <v>43891</v>
      </c>
    </row>
    <row r="21" spans="1:13" ht="15.75" customHeight="1">
      <c r="A21" s="668">
        <v>43878</v>
      </c>
      <c r="B21" s="669" t="s">
        <v>809</v>
      </c>
      <c r="C21" s="669" t="s">
        <v>816</v>
      </c>
      <c r="D21" s="669" t="s">
        <v>828</v>
      </c>
      <c r="E21" s="670"/>
      <c r="F21" s="671">
        <v>14500</v>
      </c>
      <c r="G21" s="671">
        <v>0</v>
      </c>
      <c r="H21" s="671">
        <v>5341902</v>
      </c>
      <c r="I21" s="672"/>
      <c r="J21" s="672"/>
      <c r="K21" s="672" t="s">
        <v>812</v>
      </c>
      <c r="L21" s="672" t="s">
        <v>813</v>
      </c>
      <c r="M21" s="684">
        <v>43891</v>
      </c>
    </row>
    <row r="22" spans="1:13" ht="15.75" customHeight="1">
      <c r="A22" s="668">
        <v>43878</v>
      </c>
      <c r="B22" s="669" t="s">
        <v>809</v>
      </c>
      <c r="C22" s="669" t="s">
        <v>829</v>
      </c>
      <c r="D22" s="669" t="s">
        <v>828</v>
      </c>
      <c r="E22" s="670"/>
      <c r="F22" s="671">
        <v>38800</v>
      </c>
      <c r="G22" s="671">
        <v>0</v>
      </c>
      <c r="H22" s="671">
        <v>5303102</v>
      </c>
      <c r="I22" s="672"/>
      <c r="J22" s="672"/>
      <c r="K22" s="672" t="s">
        <v>812</v>
      </c>
      <c r="L22" s="672" t="s">
        <v>813</v>
      </c>
      <c r="M22" s="684">
        <v>43891</v>
      </c>
    </row>
    <row r="23" spans="1:13" ht="15.75" customHeight="1">
      <c r="A23" s="664">
        <v>43889</v>
      </c>
      <c r="B23" s="665" t="s">
        <v>830</v>
      </c>
      <c r="C23" s="665" t="s">
        <v>831</v>
      </c>
      <c r="D23" s="665" t="s">
        <v>832</v>
      </c>
      <c r="E23" s="666"/>
      <c r="F23" s="667">
        <v>17500</v>
      </c>
      <c r="G23" s="667">
        <v>0</v>
      </c>
      <c r="H23" s="667">
        <v>5285602</v>
      </c>
      <c r="I23" s="663"/>
      <c r="J23" s="663"/>
      <c r="K23" s="663" t="s">
        <v>807</v>
      </c>
      <c r="L23" s="663" t="s">
        <v>808</v>
      </c>
      <c r="M23" s="684">
        <v>43891</v>
      </c>
    </row>
    <row r="24" spans="1:13" ht="15.75" customHeight="1">
      <c r="A24" s="664">
        <v>43889</v>
      </c>
      <c r="B24" s="665" t="s">
        <v>830</v>
      </c>
      <c r="C24" s="665" t="s">
        <v>833</v>
      </c>
      <c r="D24" s="665" t="s">
        <v>832</v>
      </c>
      <c r="E24" s="666"/>
      <c r="F24" s="667">
        <v>107400</v>
      </c>
      <c r="G24" s="667">
        <v>0</v>
      </c>
      <c r="H24" s="667">
        <v>5178202</v>
      </c>
      <c r="I24" s="663"/>
      <c r="J24" s="663"/>
      <c r="K24" s="663" t="s">
        <v>807</v>
      </c>
      <c r="L24" s="663" t="s">
        <v>808</v>
      </c>
      <c r="M24" s="684">
        <v>43891</v>
      </c>
    </row>
    <row r="25" spans="1:13" ht="15.75" customHeight="1">
      <c r="A25" s="664">
        <v>43889</v>
      </c>
      <c r="B25" s="665" t="s">
        <v>830</v>
      </c>
      <c r="C25" s="665" t="s">
        <v>834</v>
      </c>
      <c r="D25" s="665" t="s">
        <v>832</v>
      </c>
      <c r="E25" s="666"/>
      <c r="F25" s="667">
        <v>145000</v>
      </c>
      <c r="G25" s="667">
        <v>0</v>
      </c>
      <c r="H25" s="667">
        <v>5033202</v>
      </c>
      <c r="I25" s="663"/>
      <c r="J25" s="663"/>
      <c r="K25" s="663" t="s">
        <v>807</v>
      </c>
      <c r="L25" s="663" t="s">
        <v>808</v>
      </c>
      <c r="M25" s="684">
        <v>43891</v>
      </c>
    </row>
    <row r="26" spans="1:13" ht="15.75" customHeight="1">
      <c r="A26" s="664">
        <v>43889</v>
      </c>
      <c r="B26" s="665" t="s">
        <v>830</v>
      </c>
      <c r="C26" s="665" t="s">
        <v>835</v>
      </c>
      <c r="D26" s="665" t="s">
        <v>832</v>
      </c>
      <c r="E26" s="666"/>
      <c r="F26" s="667">
        <v>25000</v>
      </c>
      <c r="G26" s="667">
        <v>0</v>
      </c>
      <c r="H26" s="667">
        <v>5008202</v>
      </c>
      <c r="I26" s="663"/>
      <c r="J26" s="663"/>
      <c r="K26" s="663" t="s">
        <v>807</v>
      </c>
      <c r="L26" s="663" t="s">
        <v>808</v>
      </c>
      <c r="M26" s="684">
        <v>43891</v>
      </c>
    </row>
    <row r="27" spans="1:13" ht="15.75" customHeight="1">
      <c r="A27" s="664">
        <v>43889</v>
      </c>
      <c r="B27" s="665" t="s">
        <v>830</v>
      </c>
      <c r="C27" s="665" t="s">
        <v>836</v>
      </c>
      <c r="D27" s="665" t="s">
        <v>832</v>
      </c>
      <c r="E27" s="666"/>
      <c r="F27" s="667">
        <v>520000</v>
      </c>
      <c r="G27" s="667">
        <v>0</v>
      </c>
      <c r="H27" s="667">
        <v>4488202</v>
      </c>
      <c r="I27" s="663"/>
      <c r="J27" s="663"/>
      <c r="K27" s="663" t="s">
        <v>807</v>
      </c>
      <c r="L27" s="663" t="s">
        <v>808</v>
      </c>
      <c r="M27" s="684">
        <v>43891</v>
      </c>
    </row>
    <row r="28" spans="1:13" ht="15.75" customHeight="1">
      <c r="A28" s="664">
        <v>43889</v>
      </c>
      <c r="B28" s="665" t="s">
        <v>830</v>
      </c>
      <c r="C28" s="665" t="s">
        <v>837</v>
      </c>
      <c r="D28" s="665" t="s">
        <v>832</v>
      </c>
      <c r="E28" s="666"/>
      <c r="F28" s="667">
        <v>57600</v>
      </c>
      <c r="G28" s="667">
        <v>0</v>
      </c>
      <c r="H28" s="667">
        <v>4430602</v>
      </c>
      <c r="I28" s="663"/>
      <c r="J28" s="663" t="s">
        <v>838</v>
      </c>
      <c r="K28" s="663" t="s">
        <v>807</v>
      </c>
      <c r="L28" s="663" t="s">
        <v>808</v>
      </c>
      <c r="M28" s="684">
        <v>43891</v>
      </c>
    </row>
    <row r="29" spans="1:13" ht="15.75" customHeight="1">
      <c r="A29" s="668">
        <v>43890</v>
      </c>
      <c r="B29" s="669" t="s">
        <v>839</v>
      </c>
      <c r="C29" s="669" t="s">
        <v>840</v>
      </c>
      <c r="D29" s="669" t="s">
        <v>811</v>
      </c>
      <c r="E29" s="670"/>
      <c r="F29" s="671">
        <v>1200000</v>
      </c>
      <c r="G29" s="671">
        <v>0</v>
      </c>
      <c r="H29" s="671">
        <v>3230602</v>
      </c>
      <c r="I29" s="674"/>
      <c r="J29" s="672" t="s">
        <v>838</v>
      </c>
      <c r="K29" s="672" t="s">
        <v>812</v>
      </c>
      <c r="L29" s="672" t="s">
        <v>813</v>
      </c>
      <c r="M29" s="684">
        <v>43891</v>
      </c>
    </row>
    <row r="30" spans="1:13" ht="15.75" customHeight="1">
      <c r="A30" s="664">
        <v>43894</v>
      </c>
      <c r="B30" s="665" t="s">
        <v>841</v>
      </c>
      <c r="C30" s="665" t="s">
        <v>842</v>
      </c>
      <c r="D30" s="665" t="s">
        <v>832</v>
      </c>
      <c r="E30" s="666"/>
      <c r="F30" s="667">
        <v>245000</v>
      </c>
      <c r="G30" s="667">
        <v>0</v>
      </c>
      <c r="H30" s="667">
        <v>2985602</v>
      </c>
      <c r="I30" s="675"/>
      <c r="J30" s="663"/>
      <c r="K30" s="663" t="s">
        <v>807</v>
      </c>
      <c r="L30" s="663" t="s">
        <v>808</v>
      </c>
      <c r="M30" s="684">
        <v>43891</v>
      </c>
    </row>
    <row r="31" spans="1:13" ht="15.75" customHeight="1">
      <c r="A31" s="664">
        <v>43894</v>
      </c>
      <c r="B31" s="665" t="s">
        <v>841</v>
      </c>
      <c r="C31" s="665" t="s">
        <v>843</v>
      </c>
      <c r="D31" s="665" t="s">
        <v>832</v>
      </c>
      <c r="E31" s="666"/>
      <c r="F31" s="667">
        <v>349000</v>
      </c>
      <c r="G31" s="667">
        <v>0</v>
      </c>
      <c r="H31" s="667">
        <v>2636602</v>
      </c>
      <c r="I31" s="675"/>
      <c r="J31" s="663"/>
      <c r="K31" s="663" t="s">
        <v>807</v>
      </c>
      <c r="L31" s="663" t="s">
        <v>808</v>
      </c>
      <c r="M31" s="684">
        <v>43891</v>
      </c>
    </row>
    <row r="32" spans="1:13" ht="15.75" customHeight="1">
      <c r="A32" s="664">
        <v>43894</v>
      </c>
      <c r="B32" s="665" t="s">
        <v>841</v>
      </c>
      <c r="C32" s="665" t="s">
        <v>844</v>
      </c>
      <c r="D32" s="665" t="s">
        <v>832</v>
      </c>
      <c r="E32" s="666"/>
      <c r="F32" s="667">
        <v>44000</v>
      </c>
      <c r="G32" s="667">
        <v>0</v>
      </c>
      <c r="H32" s="667">
        <v>2592602</v>
      </c>
      <c r="I32" s="675"/>
      <c r="J32" s="663"/>
      <c r="K32" s="663" t="s">
        <v>807</v>
      </c>
      <c r="L32" s="663" t="s">
        <v>808</v>
      </c>
      <c r="M32" s="684">
        <v>43891</v>
      </c>
    </row>
    <row r="33" spans="1:13" ht="15.75" customHeight="1">
      <c r="A33" s="664">
        <v>43894</v>
      </c>
      <c r="B33" s="665" t="s">
        <v>841</v>
      </c>
      <c r="C33" s="665" t="s">
        <v>845</v>
      </c>
      <c r="D33" s="665" t="s">
        <v>832</v>
      </c>
      <c r="E33" s="666"/>
      <c r="F33" s="667">
        <v>154000</v>
      </c>
      <c r="G33" s="667">
        <v>0</v>
      </c>
      <c r="H33" s="667">
        <v>2438602</v>
      </c>
      <c r="I33" s="675"/>
      <c r="J33" s="663"/>
      <c r="K33" s="663" t="s">
        <v>807</v>
      </c>
      <c r="L33" s="663" t="s">
        <v>808</v>
      </c>
      <c r="M33" s="684">
        <v>43891</v>
      </c>
    </row>
    <row r="34" spans="1:13" ht="15.75" customHeight="1">
      <c r="A34" s="664">
        <v>43894</v>
      </c>
      <c r="B34" s="665" t="s">
        <v>841</v>
      </c>
      <c r="C34" s="665" t="s">
        <v>846</v>
      </c>
      <c r="D34" s="665" t="s">
        <v>832</v>
      </c>
      <c r="E34" s="666"/>
      <c r="F34" s="667">
        <v>78900</v>
      </c>
      <c r="G34" s="667">
        <v>0</v>
      </c>
      <c r="H34" s="667">
        <v>2359702</v>
      </c>
      <c r="I34" s="675"/>
      <c r="J34" s="663" t="s">
        <v>838</v>
      </c>
      <c r="K34" s="663" t="s">
        <v>807</v>
      </c>
      <c r="L34" s="663" t="s">
        <v>808</v>
      </c>
      <c r="M34" s="684">
        <v>43891</v>
      </c>
    </row>
    <row r="35" spans="1:13" ht="15.75" customHeight="1">
      <c r="A35" s="660">
        <v>43908</v>
      </c>
      <c r="B35" s="661" t="s">
        <v>847</v>
      </c>
      <c r="C35" s="661" t="s">
        <v>848</v>
      </c>
      <c r="D35" s="661" t="s">
        <v>849</v>
      </c>
      <c r="E35" s="649"/>
      <c r="F35" s="662">
        <v>1871800</v>
      </c>
      <c r="G35" s="662">
        <v>0</v>
      </c>
      <c r="H35" s="662">
        <v>487902</v>
      </c>
      <c r="I35" s="663"/>
      <c r="J35" s="663"/>
      <c r="K35" s="663"/>
      <c r="L35" s="663"/>
      <c r="M35" s="673">
        <f>SUM(F8:F34)</f>
        <v>3640320</v>
      </c>
    </row>
    <row r="36" spans="1:13" ht="15.75" customHeight="1">
      <c r="A36" s="649"/>
      <c r="B36" s="649"/>
      <c r="C36" s="659"/>
      <c r="D36" s="659"/>
      <c r="E36" s="659"/>
      <c r="F36" s="658"/>
      <c r="G36" s="658"/>
      <c r="H36" s="655"/>
      <c r="I36" s="649"/>
      <c r="J36" s="649"/>
      <c r="K36" s="649"/>
      <c r="L36" s="649"/>
      <c r="M36" s="673">
        <f>+M35+H35</f>
        <v>4128222</v>
      </c>
    </row>
    <row r="37" spans="1:13" ht="15.75" customHeight="1">
      <c r="A37" s="649"/>
      <c r="B37" s="649"/>
      <c r="C37" s="649"/>
      <c r="D37" s="659"/>
      <c r="E37" s="659"/>
      <c r="F37" s="658"/>
      <c r="G37" s="658"/>
      <c r="H37" s="655"/>
      <c r="I37" s="649"/>
      <c r="J37" s="649"/>
      <c r="K37" s="649"/>
      <c r="L37" s="649"/>
      <c r="M37" s="649"/>
    </row>
    <row r="38" spans="1:13" ht="15.75" customHeight="1">
      <c r="A38" s="656" t="s">
        <v>850</v>
      </c>
      <c r="B38" s="654"/>
      <c r="C38" s="654" t="s">
        <v>526</v>
      </c>
      <c r="D38" s="654"/>
      <c r="E38" s="657" t="s">
        <v>799</v>
      </c>
      <c r="F38" s="658"/>
      <c r="G38" s="655"/>
      <c r="H38" s="658"/>
      <c r="I38" s="659"/>
      <c r="J38" s="659"/>
      <c r="K38" s="649"/>
      <c r="L38" s="649"/>
      <c r="M38" s="649"/>
    </row>
    <row r="39" spans="1:13" ht="15.75" customHeight="1">
      <c r="A39" s="660">
        <v>43860</v>
      </c>
      <c r="B39" s="661" t="s">
        <v>851</v>
      </c>
      <c r="C39" s="661" t="s">
        <v>852</v>
      </c>
      <c r="D39" s="661" t="s">
        <v>853</v>
      </c>
      <c r="E39" s="649"/>
      <c r="F39" s="662">
        <v>0</v>
      </c>
      <c r="G39" s="662">
        <v>67102.42</v>
      </c>
      <c r="H39" s="662">
        <v>12378461.85</v>
      </c>
      <c r="I39" s="663"/>
      <c r="J39" s="663"/>
      <c r="K39" s="663"/>
      <c r="L39" s="663"/>
      <c r="M39" s="649"/>
    </row>
    <row r="40" spans="1:13" ht="15.75" customHeight="1">
      <c r="A40" s="660">
        <v>43860</v>
      </c>
      <c r="B40" s="661" t="s">
        <v>851</v>
      </c>
      <c r="C40" s="661" t="s">
        <v>854</v>
      </c>
      <c r="D40" s="661" t="s">
        <v>853</v>
      </c>
      <c r="E40" s="649"/>
      <c r="F40" s="662">
        <v>0</v>
      </c>
      <c r="G40" s="662">
        <v>85</v>
      </c>
      <c r="H40" s="662">
        <v>12378546.85</v>
      </c>
      <c r="I40" s="663"/>
      <c r="J40" s="663"/>
      <c r="K40" s="663"/>
      <c r="L40" s="663"/>
      <c r="M40" s="649"/>
    </row>
    <row r="41" spans="1:13" ht="15.75" customHeight="1">
      <c r="A41" s="660">
        <v>43860</v>
      </c>
      <c r="B41" s="661" t="s">
        <v>851</v>
      </c>
      <c r="C41" s="661" t="s">
        <v>855</v>
      </c>
      <c r="D41" s="661" t="s">
        <v>853</v>
      </c>
      <c r="E41" s="649"/>
      <c r="F41" s="662">
        <v>0</v>
      </c>
      <c r="G41" s="662">
        <v>190000</v>
      </c>
      <c r="H41" s="662">
        <v>12568546.85</v>
      </c>
      <c r="I41" s="663"/>
      <c r="J41" s="663"/>
      <c r="K41" s="663"/>
      <c r="L41" s="663"/>
      <c r="M41" s="649"/>
    </row>
    <row r="42" spans="1:13" ht="15.75" customHeight="1">
      <c r="A42" s="660">
        <v>43860</v>
      </c>
      <c r="B42" s="661" t="s">
        <v>851</v>
      </c>
      <c r="C42" s="661" t="s">
        <v>856</v>
      </c>
      <c r="D42" s="661" t="s">
        <v>853</v>
      </c>
      <c r="E42" s="649"/>
      <c r="F42" s="662">
        <v>0</v>
      </c>
      <c r="G42" s="662">
        <v>3312500</v>
      </c>
      <c r="H42" s="662">
        <v>15881046.85</v>
      </c>
      <c r="I42" s="663"/>
      <c r="J42" s="663"/>
      <c r="K42" s="663"/>
      <c r="L42" s="663"/>
      <c r="M42" s="649"/>
    </row>
    <row r="43" spans="1:13" ht="15.75" customHeight="1">
      <c r="A43" s="660">
        <v>43860</v>
      </c>
      <c r="B43" s="661" t="s">
        <v>851</v>
      </c>
      <c r="C43" s="661" t="s">
        <v>857</v>
      </c>
      <c r="D43" s="661" t="s">
        <v>853</v>
      </c>
      <c r="E43" s="649"/>
      <c r="F43" s="662">
        <v>0</v>
      </c>
      <c r="G43" s="662">
        <v>468685</v>
      </c>
      <c r="H43" s="662">
        <v>16349731.85</v>
      </c>
      <c r="I43" s="663"/>
      <c r="J43" s="663"/>
      <c r="K43" s="663"/>
      <c r="L43" s="663"/>
      <c r="M43" s="649"/>
    </row>
    <row r="44" spans="1:13" ht="15.75" customHeight="1">
      <c r="A44" s="660">
        <v>43860</v>
      </c>
      <c r="B44" s="661" t="s">
        <v>858</v>
      </c>
      <c r="C44" s="661" t="s">
        <v>859</v>
      </c>
      <c r="D44" s="661" t="s">
        <v>860</v>
      </c>
      <c r="E44" s="649"/>
      <c r="F44" s="676">
        <v>212815</v>
      </c>
      <c r="G44" s="662">
        <v>0</v>
      </c>
      <c r="H44" s="662">
        <v>16136916.85</v>
      </c>
      <c r="I44" s="663"/>
      <c r="J44" s="677">
        <f>+F44+F45+F46+F47</f>
        <v>1332895</v>
      </c>
      <c r="K44" s="663"/>
      <c r="L44" s="663"/>
      <c r="M44" s="649"/>
    </row>
    <row r="45" spans="1:13" ht="15.75" customHeight="1">
      <c r="A45" s="660">
        <v>43860</v>
      </c>
      <c r="B45" s="661" t="s">
        <v>858</v>
      </c>
      <c r="C45" s="661" t="s">
        <v>861</v>
      </c>
      <c r="D45" s="661" t="s">
        <v>860</v>
      </c>
      <c r="E45" s="649"/>
      <c r="F45" s="676">
        <v>93600</v>
      </c>
      <c r="G45" s="662">
        <v>0</v>
      </c>
      <c r="H45" s="662">
        <v>16043316.85</v>
      </c>
      <c r="I45" s="663"/>
      <c r="J45" s="663"/>
      <c r="K45" s="663"/>
      <c r="L45" s="663"/>
      <c r="M45" s="649"/>
    </row>
    <row r="46" spans="1:13" ht="15.75" customHeight="1">
      <c r="A46" s="660">
        <v>43860</v>
      </c>
      <c r="B46" s="661" t="s">
        <v>858</v>
      </c>
      <c r="C46" s="661" t="s">
        <v>862</v>
      </c>
      <c r="D46" s="661" t="s">
        <v>860</v>
      </c>
      <c r="E46" s="649"/>
      <c r="F46" s="676">
        <v>351000</v>
      </c>
      <c r="G46" s="662">
        <v>0</v>
      </c>
      <c r="H46" s="662">
        <v>15692316.85</v>
      </c>
      <c r="I46" s="663"/>
      <c r="J46" s="663"/>
      <c r="K46" s="663"/>
      <c r="L46" s="663"/>
      <c r="M46" s="649"/>
    </row>
    <row r="47" spans="1:13" ht="15.75" customHeight="1">
      <c r="A47" s="660">
        <v>43860</v>
      </c>
      <c r="B47" s="661" t="s">
        <v>858</v>
      </c>
      <c r="C47" s="661" t="s">
        <v>863</v>
      </c>
      <c r="D47" s="661" t="s">
        <v>860</v>
      </c>
      <c r="E47" s="649"/>
      <c r="F47" s="676">
        <v>675480</v>
      </c>
      <c r="G47" s="662">
        <v>0</v>
      </c>
      <c r="H47" s="662">
        <v>15016836.85</v>
      </c>
      <c r="I47" s="663"/>
      <c r="J47" s="663"/>
      <c r="K47" s="663"/>
      <c r="L47" s="663"/>
      <c r="M47" s="649"/>
    </row>
    <row r="48" spans="1:13" ht="15.75" customHeight="1">
      <c r="A48" s="660">
        <v>43874</v>
      </c>
      <c r="B48" s="661" t="s">
        <v>864</v>
      </c>
      <c r="C48" s="661" t="s">
        <v>865</v>
      </c>
      <c r="D48" s="661" t="s">
        <v>866</v>
      </c>
      <c r="E48" s="649"/>
      <c r="F48" s="676">
        <v>1119100</v>
      </c>
      <c r="G48" s="662">
        <v>0</v>
      </c>
      <c r="H48" s="662">
        <v>13897736.85</v>
      </c>
      <c r="I48" s="663"/>
      <c r="J48" s="663"/>
      <c r="K48" s="663"/>
      <c r="L48" s="663"/>
      <c r="M48" s="649"/>
    </row>
    <row r="49" spans="1:13" ht="15.75" customHeight="1">
      <c r="A49" s="660">
        <v>43874</v>
      </c>
      <c r="B49" s="661" t="s">
        <v>864</v>
      </c>
      <c r="C49" s="661" t="s">
        <v>867</v>
      </c>
      <c r="D49" s="661" t="s">
        <v>866</v>
      </c>
      <c r="E49" s="649"/>
      <c r="F49" s="676">
        <v>1960000</v>
      </c>
      <c r="G49" s="662">
        <v>0</v>
      </c>
      <c r="H49" s="662">
        <v>11937736.85</v>
      </c>
      <c r="I49" s="663"/>
      <c r="J49" s="663"/>
      <c r="K49" s="663"/>
      <c r="L49" s="663"/>
      <c r="M49" s="649"/>
    </row>
    <row r="50" spans="1:13" ht="15.75" customHeight="1">
      <c r="A50" s="660">
        <v>43874</v>
      </c>
      <c r="B50" s="661" t="s">
        <v>864</v>
      </c>
      <c r="C50" s="661" t="s">
        <v>868</v>
      </c>
      <c r="D50" s="661" t="s">
        <v>866</v>
      </c>
      <c r="E50" s="649"/>
      <c r="F50" s="676">
        <v>2050000</v>
      </c>
      <c r="G50" s="662">
        <v>0</v>
      </c>
      <c r="H50" s="662">
        <v>9887736.8499999996</v>
      </c>
      <c r="I50" s="663"/>
      <c r="J50" s="663"/>
      <c r="K50" s="663"/>
      <c r="L50" s="663"/>
      <c r="M50" s="649"/>
    </row>
    <row r="51" spans="1:13" ht="15.75" customHeight="1">
      <c r="A51" s="660">
        <v>43874</v>
      </c>
      <c r="B51" s="661" t="s">
        <v>864</v>
      </c>
      <c r="C51" s="661" t="s">
        <v>869</v>
      </c>
      <c r="D51" s="661" t="s">
        <v>866</v>
      </c>
      <c r="E51" s="649"/>
      <c r="F51" s="676">
        <v>320000</v>
      </c>
      <c r="G51" s="662">
        <v>0</v>
      </c>
      <c r="H51" s="662">
        <v>9567736.8499999996</v>
      </c>
      <c r="I51" s="663"/>
      <c r="J51" s="663"/>
      <c r="K51" s="663"/>
      <c r="L51" s="663"/>
      <c r="M51" s="649"/>
    </row>
    <row r="52" spans="1:13" ht="15.75" customHeight="1">
      <c r="A52" s="660">
        <v>43874</v>
      </c>
      <c r="B52" s="661" t="s">
        <v>864</v>
      </c>
      <c r="C52" s="661" t="s">
        <v>870</v>
      </c>
      <c r="D52" s="661" t="s">
        <v>866</v>
      </c>
      <c r="E52" s="649"/>
      <c r="F52" s="676">
        <v>1580000</v>
      </c>
      <c r="G52" s="662">
        <v>0</v>
      </c>
      <c r="H52" s="662">
        <v>7987736.8499999996</v>
      </c>
      <c r="I52" s="663"/>
      <c r="J52" s="677">
        <f>SUM(F48:F53)</f>
        <v>7329100</v>
      </c>
      <c r="K52" s="663"/>
      <c r="L52" s="663"/>
      <c r="M52" s="649"/>
    </row>
    <row r="53" spans="1:13" ht="15.75" customHeight="1">
      <c r="A53" s="660">
        <v>43874</v>
      </c>
      <c r="B53" s="661" t="s">
        <v>864</v>
      </c>
      <c r="C53" s="661" t="s">
        <v>871</v>
      </c>
      <c r="D53" s="661" t="s">
        <v>866</v>
      </c>
      <c r="E53" s="649"/>
      <c r="F53" s="676">
        <v>300000</v>
      </c>
      <c r="G53" s="662">
        <v>0</v>
      </c>
      <c r="H53" s="662">
        <v>7687736.8499999996</v>
      </c>
      <c r="I53" s="663"/>
      <c r="J53" s="663"/>
      <c r="K53" s="663"/>
      <c r="L53" s="663"/>
      <c r="M53" s="649"/>
    </row>
    <row r="54" spans="1:13" ht="15.75" customHeight="1">
      <c r="A54" s="660">
        <v>43889</v>
      </c>
      <c r="B54" s="661" t="s">
        <v>872</v>
      </c>
      <c r="C54" s="661" t="s">
        <v>873</v>
      </c>
      <c r="D54" s="661" t="s">
        <v>853</v>
      </c>
      <c r="E54" s="649"/>
      <c r="F54" s="662">
        <v>15900</v>
      </c>
      <c r="G54" s="662">
        <v>0</v>
      </c>
      <c r="H54" s="662">
        <v>7671836.8499999996</v>
      </c>
      <c r="I54" s="663"/>
      <c r="J54" s="663"/>
      <c r="K54" s="663"/>
      <c r="L54" s="663"/>
      <c r="M54" s="649"/>
    </row>
    <row r="55" spans="1:13" ht="15.75" customHeight="1">
      <c r="A55" s="660">
        <v>43889</v>
      </c>
      <c r="B55" s="661" t="s">
        <v>872</v>
      </c>
      <c r="C55" s="661" t="s">
        <v>856</v>
      </c>
      <c r="D55" s="661" t="s">
        <v>853</v>
      </c>
      <c r="E55" s="649"/>
      <c r="F55" s="662">
        <v>0</v>
      </c>
      <c r="G55" s="662">
        <v>764700</v>
      </c>
      <c r="H55" s="662">
        <v>8436536.8499999996</v>
      </c>
      <c r="I55" s="663"/>
      <c r="J55" s="663"/>
      <c r="K55" s="663"/>
      <c r="L55" s="663"/>
      <c r="M55" s="649"/>
    </row>
    <row r="56" spans="1:13" ht="15.75" customHeight="1">
      <c r="A56" s="660">
        <v>43889</v>
      </c>
      <c r="B56" s="661" t="s">
        <v>872</v>
      </c>
      <c r="C56" s="661" t="s">
        <v>857</v>
      </c>
      <c r="D56" s="661" t="s">
        <v>853</v>
      </c>
      <c r="E56" s="649"/>
      <c r="F56" s="662">
        <v>0</v>
      </c>
      <c r="G56" s="662">
        <v>7310500</v>
      </c>
      <c r="H56" s="662">
        <v>15747036.85</v>
      </c>
      <c r="I56" s="663"/>
      <c r="J56" s="663"/>
      <c r="K56" s="663"/>
      <c r="L56" s="663"/>
      <c r="M56" s="649"/>
    </row>
    <row r="57" spans="1:13" ht="15.75" customHeight="1">
      <c r="A57" s="660">
        <v>43889</v>
      </c>
      <c r="B57" s="661" t="s">
        <v>872</v>
      </c>
      <c r="C57" s="661" t="s">
        <v>874</v>
      </c>
      <c r="D57" s="661" t="s">
        <v>853</v>
      </c>
      <c r="E57" s="649"/>
      <c r="F57" s="662">
        <v>145750</v>
      </c>
      <c r="G57" s="662">
        <v>0</v>
      </c>
      <c r="H57" s="662">
        <v>15601286.85</v>
      </c>
      <c r="I57" s="663"/>
      <c r="J57" s="663"/>
      <c r="K57" s="663"/>
      <c r="L57" s="663"/>
      <c r="M57" s="649"/>
    </row>
    <row r="58" spans="1:13" ht="15.75" customHeight="1">
      <c r="A58" s="660">
        <v>43889</v>
      </c>
      <c r="B58" s="661" t="s">
        <v>872</v>
      </c>
      <c r="C58" s="661" t="s">
        <v>855</v>
      </c>
      <c r="D58" s="661" t="s">
        <v>853</v>
      </c>
      <c r="E58" s="649"/>
      <c r="F58" s="662">
        <v>0</v>
      </c>
      <c r="G58" s="662">
        <v>395000</v>
      </c>
      <c r="H58" s="662">
        <v>15996286.85</v>
      </c>
      <c r="I58" s="663"/>
      <c r="J58" s="663"/>
      <c r="K58" s="663"/>
      <c r="L58" s="663"/>
      <c r="M58" s="649"/>
    </row>
    <row r="59" spans="1:13" ht="15.75" customHeight="1">
      <c r="A59" s="660">
        <v>43889</v>
      </c>
      <c r="B59" s="661" t="s">
        <v>872</v>
      </c>
      <c r="C59" s="661" t="s">
        <v>875</v>
      </c>
      <c r="D59" s="661" t="s">
        <v>853</v>
      </c>
      <c r="E59" s="649"/>
      <c r="F59" s="662">
        <v>0</v>
      </c>
      <c r="G59" s="662">
        <v>12792560</v>
      </c>
      <c r="H59" s="662">
        <v>28788846.850000001</v>
      </c>
      <c r="I59" s="663"/>
      <c r="J59" s="663"/>
      <c r="K59" s="663"/>
      <c r="L59" s="663"/>
      <c r="M59" s="649"/>
    </row>
    <row r="60" spans="1:13" ht="15.75" customHeight="1">
      <c r="A60" s="660">
        <v>43889</v>
      </c>
      <c r="B60" s="661" t="s">
        <v>872</v>
      </c>
      <c r="C60" s="661" t="s">
        <v>852</v>
      </c>
      <c r="D60" s="661" t="s">
        <v>853</v>
      </c>
      <c r="E60" s="649"/>
      <c r="F60" s="662">
        <v>0</v>
      </c>
      <c r="G60" s="662">
        <v>46873</v>
      </c>
      <c r="H60" s="662">
        <v>28835719.850000001</v>
      </c>
      <c r="I60" s="663"/>
      <c r="J60" s="663"/>
      <c r="K60" s="663"/>
      <c r="L60" s="663"/>
      <c r="M60" s="649"/>
    </row>
    <row r="61" spans="1:13" ht="15.75" customHeight="1">
      <c r="A61" s="660">
        <v>43889</v>
      </c>
      <c r="B61" s="661" t="s">
        <v>872</v>
      </c>
      <c r="C61" s="661" t="s">
        <v>854</v>
      </c>
      <c r="D61" s="661" t="s">
        <v>853</v>
      </c>
      <c r="E61" s="649"/>
      <c r="F61" s="662">
        <v>0</v>
      </c>
      <c r="G61" s="662">
        <v>338</v>
      </c>
      <c r="H61" s="662">
        <v>28836057.850000001</v>
      </c>
      <c r="I61" s="663"/>
      <c r="J61" s="663"/>
      <c r="K61" s="663"/>
      <c r="L61" s="663"/>
      <c r="M61" s="649"/>
    </row>
    <row r="62" spans="1:13" ht="15.75" customHeight="1">
      <c r="A62" s="660">
        <v>43889</v>
      </c>
      <c r="B62" s="661" t="s">
        <v>876</v>
      </c>
      <c r="C62" s="661" t="s">
        <v>877</v>
      </c>
      <c r="D62" s="661" t="s">
        <v>878</v>
      </c>
      <c r="E62" s="649"/>
      <c r="F62" s="676">
        <v>660000</v>
      </c>
      <c r="G62" s="662">
        <v>0</v>
      </c>
      <c r="H62" s="662">
        <v>28176057.850000001</v>
      </c>
      <c r="I62" s="663"/>
      <c r="J62" s="663"/>
      <c r="K62" s="663"/>
      <c r="L62" s="663"/>
      <c r="M62" s="649"/>
    </row>
    <row r="63" spans="1:13" ht="15.75" customHeight="1">
      <c r="A63" s="660">
        <v>43889</v>
      </c>
      <c r="B63" s="661" t="s">
        <v>876</v>
      </c>
      <c r="C63" s="661" t="s">
        <v>879</v>
      </c>
      <c r="D63" s="661" t="s">
        <v>878</v>
      </c>
      <c r="E63" s="649"/>
      <c r="F63" s="676">
        <v>135000</v>
      </c>
      <c r="G63" s="662">
        <v>0</v>
      </c>
      <c r="H63" s="662">
        <v>28041057.850000001</v>
      </c>
      <c r="I63" s="663"/>
      <c r="J63" s="663"/>
      <c r="K63" s="663"/>
      <c r="L63" s="663"/>
      <c r="M63" s="649"/>
    </row>
    <row r="64" spans="1:13" ht="15.75" customHeight="1">
      <c r="A64" s="678">
        <v>43896</v>
      </c>
      <c r="B64" s="679" t="s">
        <v>880</v>
      </c>
      <c r="C64" s="679" t="s">
        <v>881</v>
      </c>
      <c r="D64" s="679" t="s">
        <v>882</v>
      </c>
      <c r="E64" s="680"/>
      <c r="F64" s="681">
        <v>279667</v>
      </c>
      <c r="G64" s="681">
        <v>0</v>
      </c>
      <c r="H64" s="681">
        <v>27761390.850000001</v>
      </c>
      <c r="I64" s="672"/>
      <c r="J64" s="663" t="s">
        <v>883</v>
      </c>
      <c r="K64" s="677">
        <f>+F64+F65</f>
        <v>1771600</v>
      </c>
      <c r="L64" s="663"/>
      <c r="M64" s="649"/>
    </row>
    <row r="65" spans="1:13" ht="15.75" customHeight="1">
      <c r="A65" s="678">
        <v>43896</v>
      </c>
      <c r="B65" s="679" t="s">
        <v>880</v>
      </c>
      <c r="C65" s="679" t="s">
        <v>884</v>
      </c>
      <c r="D65" s="679" t="s">
        <v>882</v>
      </c>
      <c r="E65" s="680"/>
      <c r="F65" s="681">
        <v>1491933</v>
      </c>
      <c r="G65" s="681">
        <v>0</v>
      </c>
      <c r="H65" s="681">
        <v>26269457.850000001</v>
      </c>
      <c r="I65" s="672"/>
      <c r="J65" s="663" t="s">
        <v>883</v>
      </c>
      <c r="K65" s="663"/>
      <c r="L65" s="663"/>
      <c r="M65" s="649"/>
    </row>
    <row r="66" spans="1:13" ht="15.75" customHeight="1">
      <c r="A66" s="660">
        <v>43902</v>
      </c>
      <c r="B66" s="661" t="s">
        <v>885</v>
      </c>
      <c r="C66" s="661" t="s">
        <v>886</v>
      </c>
      <c r="D66" s="661" t="s">
        <v>887</v>
      </c>
      <c r="E66" s="649"/>
      <c r="F66" s="676">
        <v>303346</v>
      </c>
      <c r="G66" s="662">
        <v>0</v>
      </c>
      <c r="H66" s="662">
        <v>25966111.850000001</v>
      </c>
      <c r="I66" s="663"/>
      <c r="J66" s="663"/>
      <c r="K66" s="663"/>
      <c r="L66" s="663"/>
      <c r="M66" s="649"/>
    </row>
    <row r="67" spans="1:13" ht="15.75" customHeight="1">
      <c r="A67" s="660">
        <v>43902</v>
      </c>
      <c r="B67" s="661" t="s">
        <v>885</v>
      </c>
      <c r="C67" s="661" t="s">
        <v>888</v>
      </c>
      <c r="D67" s="661" t="s">
        <v>887</v>
      </c>
      <c r="E67" s="649"/>
      <c r="F67" s="676">
        <v>1596559</v>
      </c>
      <c r="G67" s="662">
        <v>0</v>
      </c>
      <c r="H67" s="662">
        <v>24369552.850000001</v>
      </c>
      <c r="I67" s="663"/>
      <c r="J67" s="663"/>
      <c r="K67" s="677"/>
      <c r="L67" s="663"/>
      <c r="M67" s="649"/>
    </row>
    <row r="68" spans="1:13" ht="15.75" customHeight="1">
      <c r="A68" s="664">
        <v>43903</v>
      </c>
      <c r="B68" s="665" t="s">
        <v>889</v>
      </c>
      <c r="C68" s="665" t="s">
        <v>890</v>
      </c>
      <c r="D68" s="665" t="s">
        <v>891</v>
      </c>
      <c r="E68" s="666"/>
      <c r="F68" s="667">
        <v>1650000</v>
      </c>
      <c r="G68" s="667">
        <v>0</v>
      </c>
      <c r="H68" s="667">
        <v>22719552.850000001</v>
      </c>
      <c r="I68" s="675"/>
      <c r="J68" s="675" t="s">
        <v>892</v>
      </c>
      <c r="K68" s="675"/>
      <c r="L68" s="663"/>
      <c r="M68" s="649"/>
    </row>
    <row r="69" spans="1:13" ht="15.75" customHeight="1">
      <c r="A69" s="660">
        <v>43908</v>
      </c>
      <c r="B69" s="661" t="s">
        <v>893</v>
      </c>
      <c r="C69" s="661" t="s">
        <v>894</v>
      </c>
      <c r="D69" s="661" t="s">
        <v>895</v>
      </c>
      <c r="E69" s="649"/>
      <c r="F69" s="676">
        <v>220000</v>
      </c>
      <c r="G69" s="662">
        <v>0</v>
      </c>
      <c r="H69" s="662">
        <v>22499552.850000001</v>
      </c>
      <c r="I69" s="663"/>
      <c r="J69" s="663"/>
      <c r="K69" s="663"/>
      <c r="L69" s="663"/>
      <c r="M69" s="649"/>
    </row>
    <row r="70" spans="1:13" ht="15.75" customHeight="1">
      <c r="A70" s="660">
        <v>43908</v>
      </c>
      <c r="B70" s="661" t="s">
        <v>896</v>
      </c>
      <c r="C70" s="661" t="s">
        <v>897</v>
      </c>
      <c r="D70" s="661" t="s">
        <v>898</v>
      </c>
      <c r="E70" s="649"/>
      <c r="F70" s="676">
        <v>250000</v>
      </c>
      <c r="G70" s="662">
        <v>0</v>
      </c>
      <c r="H70" s="662">
        <v>22249552.850000001</v>
      </c>
      <c r="I70" s="663"/>
      <c r="J70" s="663"/>
      <c r="K70" s="663"/>
      <c r="L70" s="663"/>
      <c r="M70" s="649"/>
    </row>
    <row r="71" spans="1:13" ht="15.75" customHeight="1">
      <c r="A71" s="660">
        <v>43908</v>
      </c>
      <c r="B71" s="661" t="s">
        <v>896</v>
      </c>
      <c r="C71" s="661" t="s">
        <v>899</v>
      </c>
      <c r="D71" s="661" t="s">
        <v>898</v>
      </c>
      <c r="E71" s="649"/>
      <c r="F71" s="676">
        <v>1350000</v>
      </c>
      <c r="G71" s="662">
        <v>0</v>
      </c>
      <c r="H71" s="662">
        <v>20899552.850000001</v>
      </c>
      <c r="I71" s="663"/>
      <c r="J71" s="663"/>
      <c r="K71" s="663"/>
      <c r="L71" s="663"/>
      <c r="M71" s="649"/>
    </row>
    <row r="72" spans="1:13" ht="15.75" customHeight="1">
      <c r="A72" s="660">
        <v>43920</v>
      </c>
      <c r="B72" s="661" t="s">
        <v>900</v>
      </c>
      <c r="C72" s="661" t="s">
        <v>854</v>
      </c>
      <c r="D72" s="661" t="s">
        <v>853</v>
      </c>
      <c r="E72" s="649"/>
      <c r="F72" s="662">
        <v>0</v>
      </c>
      <c r="G72" s="662">
        <v>120189</v>
      </c>
      <c r="H72" s="662">
        <v>21019741.850000001</v>
      </c>
      <c r="I72" s="663"/>
      <c r="J72" s="663"/>
      <c r="K72" s="663"/>
      <c r="L72" s="663"/>
      <c r="M72" s="649"/>
    </row>
    <row r="73" spans="1:13" ht="15.75" customHeight="1">
      <c r="A73" s="660">
        <v>43920</v>
      </c>
      <c r="B73" s="661" t="s">
        <v>900</v>
      </c>
      <c r="C73" s="661" t="s">
        <v>855</v>
      </c>
      <c r="D73" s="661" t="s">
        <v>853</v>
      </c>
      <c r="E73" s="649"/>
      <c r="F73" s="662">
        <v>0</v>
      </c>
      <c r="G73" s="662">
        <v>125000</v>
      </c>
      <c r="H73" s="662">
        <v>21144741.850000001</v>
      </c>
      <c r="I73" s="663"/>
      <c r="J73" s="663"/>
      <c r="K73" s="663"/>
      <c r="L73" s="663"/>
      <c r="M73" s="649"/>
    </row>
    <row r="74" spans="1:13" ht="15.75" customHeight="1">
      <c r="A74" s="660">
        <v>43920</v>
      </c>
      <c r="B74" s="661" t="s">
        <v>900</v>
      </c>
      <c r="C74" s="661" t="s">
        <v>856</v>
      </c>
      <c r="D74" s="661" t="s">
        <v>853</v>
      </c>
      <c r="E74" s="649"/>
      <c r="F74" s="662">
        <v>0</v>
      </c>
      <c r="G74" s="662">
        <v>1351500</v>
      </c>
      <c r="H74" s="662">
        <v>22496241.850000001</v>
      </c>
      <c r="I74" s="663"/>
      <c r="J74" s="663"/>
      <c r="K74" s="663"/>
      <c r="L74" s="663"/>
      <c r="M74" s="649"/>
    </row>
    <row r="75" spans="1:13" ht="15.75" customHeight="1">
      <c r="A75" s="660">
        <v>43920</v>
      </c>
      <c r="B75" s="661" t="s">
        <v>900</v>
      </c>
      <c r="C75" s="661" t="s">
        <v>901</v>
      </c>
      <c r="D75" s="661" t="s">
        <v>853</v>
      </c>
      <c r="E75" s="649"/>
      <c r="F75" s="662">
        <v>0</v>
      </c>
      <c r="G75" s="662">
        <v>199300</v>
      </c>
      <c r="H75" s="662">
        <v>22695541.850000001</v>
      </c>
      <c r="I75" s="663"/>
      <c r="J75" s="663"/>
      <c r="K75" s="663"/>
      <c r="L75" s="663"/>
      <c r="M75" s="649"/>
    </row>
    <row r="76" spans="1:13" ht="15.75" customHeight="1">
      <c r="A76" s="649"/>
      <c r="B76" s="649"/>
      <c r="C76" s="659"/>
      <c r="D76" s="659"/>
      <c r="E76" s="659"/>
      <c r="F76" s="658"/>
      <c r="G76" s="658"/>
      <c r="H76" s="655"/>
      <c r="I76" s="649"/>
      <c r="J76" s="649"/>
      <c r="K76" s="649"/>
      <c r="L76" s="649"/>
      <c r="M76" s="649"/>
    </row>
    <row r="77" spans="1:13" ht="15.75" customHeight="1">
      <c r="A77" s="649"/>
      <c r="B77" s="649"/>
      <c r="C77" s="649"/>
      <c r="D77" s="659"/>
      <c r="E77" s="659"/>
      <c r="F77" s="658"/>
      <c r="G77" s="658"/>
      <c r="H77" s="655"/>
      <c r="I77" s="649"/>
      <c r="J77" s="649"/>
      <c r="K77" s="649"/>
      <c r="L77" s="649"/>
      <c r="M77" s="649"/>
    </row>
    <row r="78" spans="1:13" ht="15.75" customHeight="1">
      <c r="A78" s="656" t="s">
        <v>902</v>
      </c>
      <c r="B78" s="654"/>
      <c r="C78" s="654"/>
      <c r="D78" s="654"/>
      <c r="E78" s="657" t="s">
        <v>799</v>
      </c>
      <c r="F78" s="658"/>
      <c r="G78" s="655"/>
      <c r="H78" s="658"/>
      <c r="I78" s="659"/>
      <c r="J78" s="659"/>
      <c r="K78" s="649"/>
      <c r="L78" s="649"/>
      <c r="M78" s="649"/>
    </row>
    <row r="79" spans="1:13" ht="15.75" customHeight="1">
      <c r="A79" s="660">
        <v>43831</v>
      </c>
      <c r="B79" s="661" t="s">
        <v>903</v>
      </c>
      <c r="C79" s="661" t="s">
        <v>904</v>
      </c>
      <c r="D79" s="649"/>
      <c r="E79" s="649"/>
      <c r="F79" s="662">
        <v>0</v>
      </c>
      <c r="G79" s="662">
        <v>29592626.559999999</v>
      </c>
      <c r="H79" s="662">
        <v>9.6857547760009766E-8</v>
      </c>
      <c r="I79" s="663"/>
      <c r="J79" s="663"/>
      <c r="K79" s="663"/>
      <c r="L79" s="663"/>
      <c r="M79" s="649"/>
    </row>
    <row r="80" spans="1:13" ht="15.75" customHeight="1">
      <c r="A80" s="649"/>
      <c r="B80" s="649"/>
      <c r="C80" s="659"/>
      <c r="D80" s="659"/>
      <c r="E80" s="659"/>
      <c r="F80" s="658"/>
      <c r="G80" s="658"/>
      <c r="H80" s="655"/>
      <c r="I80" s="649"/>
      <c r="J80" s="649"/>
      <c r="K80" s="649"/>
      <c r="L80" s="649"/>
      <c r="M80" s="649"/>
    </row>
    <row r="81" spans="1:13" ht="15.75" customHeight="1">
      <c r="A81" s="649"/>
      <c r="B81" s="649"/>
      <c r="C81" s="649"/>
      <c r="D81" s="659"/>
      <c r="E81" s="659"/>
      <c r="F81" s="658"/>
      <c r="G81" s="658"/>
      <c r="H81" s="655"/>
      <c r="I81" s="649"/>
      <c r="J81" s="649"/>
      <c r="K81" s="649"/>
      <c r="L81" s="649"/>
      <c r="M81" s="649"/>
    </row>
    <row r="82" spans="1:13" ht="15.75" customHeight="1">
      <c r="A82" s="649"/>
      <c r="B82" s="654"/>
      <c r="C82" s="654"/>
      <c r="D82" s="654"/>
      <c r="E82" s="649"/>
      <c r="F82" s="655"/>
      <c r="G82" s="655"/>
      <c r="H82" s="655"/>
      <c r="I82" s="649"/>
      <c r="J82" s="649"/>
      <c r="K82" s="649"/>
      <c r="L82" s="649"/>
      <c r="M82" s="649"/>
    </row>
    <row r="83" spans="1:13" ht="15.75">
      <c r="A83" s="649"/>
      <c r="B83" s="649"/>
      <c r="C83" s="682"/>
      <c r="D83" s="649"/>
      <c r="E83" s="649"/>
      <c r="F83" s="655"/>
      <c r="G83" s="655"/>
      <c r="H83" s="655"/>
      <c r="I83" s="649"/>
      <c r="J83" s="649"/>
      <c r="K83" s="649"/>
      <c r="L83" s="649"/>
      <c r="M83" s="649"/>
    </row>
    <row r="84" spans="1:13" ht="15.75" customHeight="1">
      <c r="A84" s="649"/>
      <c r="B84" s="654"/>
      <c r="C84" s="682"/>
      <c r="D84" s="649"/>
      <c r="E84" s="649"/>
      <c r="F84" s="655"/>
      <c r="G84" s="655"/>
      <c r="H84" s="655"/>
      <c r="I84" s="649"/>
      <c r="J84" s="649"/>
      <c r="K84" s="649"/>
      <c r="L84" s="649"/>
      <c r="M84" s="649"/>
    </row>
  </sheetData>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topLeftCell="A35" workbookViewId="0">
      <selection activeCell="A55" sqref="A55"/>
    </sheetView>
  </sheetViews>
  <sheetFormatPr baseColWidth="10" defaultRowHeight="15"/>
  <cols>
    <col min="1" max="2" width="11.42578125" style="650"/>
    <col min="3" max="3" width="41.85546875" style="650" customWidth="1"/>
    <col min="4" max="5" width="11.42578125" style="650"/>
    <col min="6" max="6" width="14.140625" style="683" bestFit="1" customWidth="1"/>
    <col min="7" max="8" width="15.42578125" style="683" bestFit="1" customWidth="1"/>
    <col min="9" max="9" width="6.28515625" style="650" bestFit="1" customWidth="1"/>
    <col min="10" max="10" width="15" style="650" bestFit="1" customWidth="1"/>
    <col min="11" max="11" width="22" style="650" bestFit="1" customWidth="1"/>
    <col min="12" max="12" width="11.85546875" style="650" bestFit="1" customWidth="1"/>
    <col min="13" max="16384" width="11.42578125" style="650"/>
  </cols>
  <sheetData>
    <row r="1" spans="1:13" ht="15.75" customHeight="1">
      <c r="A1" s="646" t="s">
        <v>793</v>
      </c>
      <c r="B1" s="647"/>
      <c r="C1" s="647"/>
      <c r="D1" s="647"/>
      <c r="E1" s="647"/>
      <c r="F1" s="648"/>
      <c r="G1" s="648"/>
      <c r="H1" s="648"/>
      <c r="I1" s="647"/>
      <c r="J1" s="647"/>
      <c r="K1" s="647"/>
      <c r="L1" s="647"/>
      <c r="M1" s="649"/>
    </row>
    <row r="2" spans="1:13" ht="15.75" customHeight="1">
      <c r="A2" s="646" t="s">
        <v>794</v>
      </c>
      <c r="B2" s="647"/>
      <c r="C2" s="647"/>
      <c r="D2" s="647"/>
      <c r="E2" s="647"/>
      <c r="F2" s="648"/>
      <c r="G2" s="648"/>
      <c r="H2" s="648"/>
      <c r="I2" s="647"/>
      <c r="J2" s="647"/>
      <c r="K2" s="647"/>
      <c r="L2" s="647"/>
      <c r="M2" s="649"/>
    </row>
    <row r="3" spans="1:13" ht="15" customHeight="1">
      <c r="A3" s="651" t="s">
        <v>795</v>
      </c>
      <c r="B3" s="652"/>
      <c r="C3" s="652"/>
      <c r="D3" s="652"/>
      <c r="E3" s="652"/>
      <c r="F3" s="653"/>
      <c r="G3" s="653"/>
      <c r="H3" s="653"/>
      <c r="I3" s="652"/>
      <c r="J3" s="652"/>
      <c r="K3" s="652"/>
      <c r="L3" s="652"/>
      <c r="M3" s="652"/>
    </row>
    <row r="4" spans="1:13" ht="15.75" customHeight="1">
      <c r="A4" s="649"/>
      <c r="B4" s="649"/>
      <c r="C4" s="654"/>
      <c r="D4" s="649"/>
      <c r="E4" s="649"/>
      <c r="F4" s="655"/>
      <c r="G4" s="655"/>
      <c r="H4" s="655"/>
      <c r="I4" s="649"/>
      <c r="J4" s="649"/>
      <c r="K4" s="649"/>
      <c r="L4" s="649"/>
      <c r="M4" s="649"/>
    </row>
    <row r="5" spans="1:13" ht="15.75">
      <c r="A5" s="649"/>
      <c r="B5" s="649"/>
      <c r="C5" s="654"/>
      <c r="D5" s="656" t="s">
        <v>796</v>
      </c>
      <c r="E5" s="649"/>
      <c r="F5" s="655"/>
      <c r="G5" s="655"/>
      <c r="H5" s="655"/>
      <c r="I5" s="649"/>
      <c r="J5" s="649"/>
      <c r="K5" s="649"/>
      <c r="L5" s="649"/>
      <c r="M5" s="649"/>
    </row>
    <row r="6" spans="1:13" ht="15.75" customHeight="1">
      <c r="A6" s="656" t="s">
        <v>797</v>
      </c>
      <c r="B6" s="654"/>
      <c r="C6" s="654" t="s">
        <v>798</v>
      </c>
      <c r="D6" s="654"/>
      <c r="E6" s="657" t="s">
        <v>799</v>
      </c>
      <c r="F6" s="658"/>
      <c r="G6" s="655"/>
      <c r="H6" s="807" t="s">
        <v>980</v>
      </c>
      <c r="I6" s="659"/>
      <c r="J6" s="659"/>
      <c r="K6" s="649"/>
      <c r="L6" s="649"/>
      <c r="M6" s="649"/>
    </row>
    <row r="7" spans="1:13" ht="15.75" customHeight="1">
      <c r="A7" s="660">
        <v>43868</v>
      </c>
      <c r="B7" s="661" t="s">
        <v>800</v>
      </c>
      <c r="C7" s="661" t="s">
        <v>801</v>
      </c>
      <c r="D7" s="661" t="s">
        <v>802</v>
      </c>
      <c r="E7" s="649"/>
      <c r="F7" s="662">
        <v>3300000</v>
      </c>
      <c r="G7" s="662">
        <v>0</v>
      </c>
      <c r="H7" s="662"/>
      <c r="I7" s="663"/>
      <c r="J7" s="663"/>
      <c r="K7" s="663"/>
      <c r="L7" s="663"/>
      <c r="M7" s="649"/>
    </row>
    <row r="8" spans="1:13" ht="15.75" customHeight="1">
      <c r="A8" s="660">
        <v>43908</v>
      </c>
      <c r="B8" s="661" t="s">
        <v>847</v>
      </c>
      <c r="C8" s="661" t="s">
        <v>848</v>
      </c>
      <c r="D8" s="661" t="s">
        <v>849</v>
      </c>
      <c r="E8" s="649"/>
      <c r="F8" s="662">
        <v>1871800</v>
      </c>
      <c r="G8" s="660"/>
      <c r="H8" s="662"/>
      <c r="I8" s="663"/>
      <c r="J8" s="663"/>
      <c r="K8" s="663"/>
      <c r="L8" s="663"/>
      <c r="M8" s="673"/>
    </row>
    <row r="9" spans="1:13" ht="15.75" customHeight="1">
      <c r="A9" s="660">
        <v>43896</v>
      </c>
      <c r="B9" s="661" t="s">
        <v>880</v>
      </c>
      <c r="C9" s="661" t="s">
        <v>881</v>
      </c>
      <c r="D9" s="661" t="s">
        <v>882</v>
      </c>
      <c r="E9" s="649"/>
      <c r="F9" s="662">
        <v>279667</v>
      </c>
      <c r="G9" s="660"/>
      <c r="H9" s="662"/>
      <c r="I9" s="663"/>
      <c r="J9" s="677">
        <f>+F9+F8</f>
        <v>2151467</v>
      </c>
      <c r="K9" s="663"/>
      <c r="L9" s="663"/>
      <c r="M9" s="673"/>
    </row>
    <row r="10" spans="1:13" ht="15.75" customHeight="1">
      <c r="A10" s="660">
        <v>43896</v>
      </c>
      <c r="B10" s="661" t="s">
        <v>880</v>
      </c>
      <c r="C10" s="661" t="s">
        <v>884</v>
      </c>
      <c r="D10" s="661" t="s">
        <v>882</v>
      </c>
      <c r="E10" s="649"/>
      <c r="F10" s="662">
        <v>1491933</v>
      </c>
      <c r="G10" s="660"/>
      <c r="H10" s="662"/>
      <c r="I10" s="663"/>
      <c r="J10" s="663"/>
      <c r="K10" s="663"/>
      <c r="L10" s="663"/>
      <c r="M10" s="673"/>
    </row>
    <row r="11" spans="1:13" ht="15.75" customHeight="1">
      <c r="A11" s="660"/>
      <c r="B11" s="661"/>
      <c r="C11" s="661"/>
      <c r="D11" s="661"/>
      <c r="E11" s="649"/>
      <c r="F11" s="806">
        <f>SUM(F7:F10)</f>
        <v>6943400</v>
      </c>
      <c r="G11" s="662"/>
      <c r="H11" s="681">
        <v>2356622</v>
      </c>
      <c r="I11" s="663"/>
      <c r="J11" s="663"/>
      <c r="K11" s="663"/>
      <c r="L11" s="663"/>
      <c r="M11" s="673"/>
    </row>
    <row r="12" spans="1:13" ht="15.75" customHeight="1">
      <c r="A12" s="649"/>
      <c r="B12" s="649"/>
      <c r="C12" s="659"/>
      <c r="D12" s="659"/>
      <c r="E12" s="659"/>
      <c r="F12" s="658"/>
      <c r="G12" s="658"/>
      <c r="H12" s="655"/>
      <c r="I12" s="649"/>
      <c r="J12" s="649"/>
      <c r="K12" s="649"/>
      <c r="L12" s="649"/>
      <c r="M12" s="673"/>
    </row>
    <row r="13" spans="1:13" ht="15.75" customHeight="1">
      <c r="A13" s="649"/>
      <c r="B13" s="649"/>
      <c r="C13" s="649"/>
      <c r="D13" s="659"/>
      <c r="E13" s="659"/>
      <c r="F13" s="658"/>
      <c r="G13" s="658"/>
      <c r="H13" s="655"/>
      <c r="I13" s="649"/>
      <c r="J13" s="649"/>
      <c r="K13" s="649"/>
      <c r="L13" s="649"/>
      <c r="M13" s="649"/>
    </row>
    <row r="14" spans="1:13" ht="15.75" customHeight="1">
      <c r="A14" s="656" t="s">
        <v>850</v>
      </c>
      <c r="B14" s="654"/>
      <c r="C14" s="654" t="s">
        <v>526</v>
      </c>
      <c r="D14" s="654"/>
      <c r="E14" s="657" t="s">
        <v>799</v>
      </c>
      <c r="F14" s="658"/>
      <c r="G14" s="655"/>
      <c r="H14" s="658"/>
      <c r="I14" s="659"/>
      <c r="J14" s="659"/>
      <c r="K14" s="649"/>
      <c r="L14" s="649"/>
      <c r="M14" s="649"/>
    </row>
    <row r="15" spans="1:13" ht="15.75" customHeight="1">
      <c r="A15" s="660">
        <v>43860</v>
      </c>
      <c r="B15" s="661" t="s">
        <v>851</v>
      </c>
      <c r="C15" s="661" t="s">
        <v>852</v>
      </c>
      <c r="D15" s="661" t="s">
        <v>853</v>
      </c>
      <c r="E15" s="649"/>
      <c r="F15" s="662">
        <v>0</v>
      </c>
      <c r="G15" s="662">
        <v>67102.42</v>
      </c>
      <c r="H15" s="662">
        <v>12378461.85</v>
      </c>
      <c r="I15" s="663"/>
      <c r="J15" s="663"/>
      <c r="K15" s="663"/>
      <c r="L15" s="663"/>
      <c r="M15" s="649"/>
    </row>
    <row r="16" spans="1:13" ht="15.75" customHeight="1">
      <c r="A16" s="660">
        <v>43860</v>
      </c>
      <c r="B16" s="661" t="s">
        <v>851</v>
      </c>
      <c r="C16" s="661" t="s">
        <v>854</v>
      </c>
      <c r="D16" s="661" t="s">
        <v>853</v>
      </c>
      <c r="E16" s="649"/>
      <c r="F16" s="662">
        <v>0</v>
      </c>
      <c r="G16" s="662">
        <v>85</v>
      </c>
      <c r="H16" s="662"/>
      <c r="I16" s="663"/>
      <c r="J16" s="663"/>
      <c r="K16" s="663"/>
      <c r="L16" s="663"/>
      <c r="M16" s="649"/>
    </row>
    <row r="17" spans="1:13" ht="15.75" customHeight="1">
      <c r="A17" s="660">
        <v>43860</v>
      </c>
      <c r="B17" s="661" t="s">
        <v>851</v>
      </c>
      <c r="C17" s="661" t="s">
        <v>855</v>
      </c>
      <c r="D17" s="661" t="s">
        <v>853</v>
      </c>
      <c r="E17" s="649"/>
      <c r="F17" s="662">
        <v>0</v>
      </c>
      <c r="G17" s="662">
        <v>190000</v>
      </c>
      <c r="H17" s="662"/>
      <c r="I17" s="663"/>
      <c r="J17" s="663"/>
      <c r="K17" s="663"/>
      <c r="L17" s="663"/>
      <c r="M17" s="649"/>
    </row>
    <row r="18" spans="1:13" ht="15.75" customHeight="1">
      <c r="A18" s="660">
        <v>43860</v>
      </c>
      <c r="B18" s="661" t="s">
        <v>851</v>
      </c>
      <c r="C18" s="661" t="s">
        <v>856</v>
      </c>
      <c r="D18" s="661" t="s">
        <v>853</v>
      </c>
      <c r="E18" s="649"/>
      <c r="F18" s="662">
        <v>0</v>
      </c>
      <c r="G18" s="662">
        <v>3312500</v>
      </c>
      <c r="H18" s="662"/>
      <c r="I18" s="663"/>
      <c r="J18" s="663"/>
      <c r="K18" s="663"/>
      <c r="L18" s="663"/>
      <c r="M18" s="649"/>
    </row>
    <row r="19" spans="1:13" ht="15.75" customHeight="1">
      <c r="A19" s="660">
        <v>43860</v>
      </c>
      <c r="B19" s="661" t="s">
        <v>851</v>
      </c>
      <c r="C19" s="661" t="s">
        <v>857</v>
      </c>
      <c r="D19" s="661" t="s">
        <v>853</v>
      </c>
      <c r="E19" s="649"/>
      <c r="F19" s="662">
        <v>0</v>
      </c>
      <c r="G19" s="662">
        <v>468685</v>
      </c>
      <c r="H19" s="662"/>
      <c r="I19" s="663"/>
      <c r="J19" s="663"/>
      <c r="K19" s="663"/>
      <c r="L19" s="663"/>
      <c r="M19" s="649"/>
    </row>
    <row r="20" spans="1:13" ht="15.75" customHeight="1">
      <c r="A20" s="660">
        <v>43860</v>
      </c>
      <c r="B20" s="661" t="s">
        <v>858</v>
      </c>
      <c r="C20" s="665" t="s">
        <v>963</v>
      </c>
      <c r="D20" s="661" t="s">
        <v>860</v>
      </c>
      <c r="E20" s="649"/>
      <c r="F20" s="676">
        <v>212815</v>
      </c>
      <c r="G20" s="662">
        <v>0</v>
      </c>
      <c r="H20" s="662"/>
      <c r="I20" s="663"/>
      <c r="J20" s="799">
        <f>+F20+F21+F22+F23</f>
        <v>1332895</v>
      </c>
      <c r="K20" s="663"/>
      <c r="L20" s="663"/>
      <c r="M20" s="649"/>
    </row>
    <row r="21" spans="1:13" ht="15.75" customHeight="1">
      <c r="A21" s="660">
        <v>43860</v>
      </c>
      <c r="B21" s="661" t="s">
        <v>858</v>
      </c>
      <c r="C21" s="665" t="s">
        <v>964</v>
      </c>
      <c r="D21" s="661" t="s">
        <v>860</v>
      </c>
      <c r="E21" s="649"/>
      <c r="F21" s="676">
        <v>93600</v>
      </c>
      <c r="G21" s="662">
        <v>0</v>
      </c>
      <c r="H21" s="662"/>
      <c r="I21" s="663"/>
      <c r="J21" s="663"/>
      <c r="K21" s="663"/>
      <c r="L21" s="663"/>
      <c r="M21" s="649"/>
    </row>
    <row r="22" spans="1:13" ht="15.75" customHeight="1">
      <c r="A22" s="660">
        <v>43860</v>
      </c>
      <c r="B22" s="661" t="s">
        <v>858</v>
      </c>
      <c r="C22" s="665" t="s">
        <v>965</v>
      </c>
      <c r="D22" s="661" t="s">
        <v>860</v>
      </c>
      <c r="E22" s="649"/>
      <c r="F22" s="676">
        <v>351000</v>
      </c>
      <c r="G22" s="662">
        <v>0</v>
      </c>
      <c r="H22" s="662"/>
      <c r="I22" s="663"/>
      <c r="J22" s="663"/>
      <c r="K22" s="663"/>
      <c r="L22" s="663"/>
      <c r="M22" s="649"/>
    </row>
    <row r="23" spans="1:13" ht="15.75" customHeight="1">
      <c r="A23" s="660">
        <v>43860</v>
      </c>
      <c r="B23" s="661" t="s">
        <v>858</v>
      </c>
      <c r="C23" s="665" t="s">
        <v>966</v>
      </c>
      <c r="D23" s="661" t="s">
        <v>860</v>
      </c>
      <c r="E23" s="649"/>
      <c r="F23" s="676">
        <v>675480</v>
      </c>
      <c r="G23" s="662">
        <v>0</v>
      </c>
      <c r="H23" s="662"/>
      <c r="I23" s="663"/>
      <c r="J23" s="663"/>
      <c r="K23" s="663"/>
      <c r="L23" s="663"/>
      <c r="M23" s="649"/>
    </row>
    <row r="24" spans="1:13" ht="15.75" customHeight="1">
      <c r="A24" s="660">
        <v>43874</v>
      </c>
      <c r="B24" s="661" t="s">
        <v>864</v>
      </c>
      <c r="C24" s="797" t="s">
        <v>967</v>
      </c>
      <c r="D24" s="661" t="s">
        <v>866</v>
      </c>
      <c r="E24" s="649"/>
      <c r="F24" s="676">
        <v>1119100</v>
      </c>
      <c r="G24" s="662">
        <v>0</v>
      </c>
      <c r="H24" s="662"/>
      <c r="I24" s="663"/>
      <c r="J24" s="663"/>
      <c r="K24" s="663"/>
      <c r="L24" s="663"/>
      <c r="M24" s="649"/>
    </row>
    <row r="25" spans="1:13" ht="15.75" customHeight="1">
      <c r="A25" s="660">
        <v>43874</v>
      </c>
      <c r="B25" s="661" t="s">
        <v>864</v>
      </c>
      <c r="C25" s="797" t="s">
        <v>968</v>
      </c>
      <c r="D25" s="661" t="s">
        <v>866</v>
      </c>
      <c r="E25" s="649"/>
      <c r="F25" s="676">
        <v>1960000</v>
      </c>
      <c r="G25" s="662">
        <v>0</v>
      </c>
      <c r="H25" s="662"/>
      <c r="I25" s="663"/>
      <c r="J25" s="663"/>
      <c r="K25" s="663"/>
      <c r="L25" s="663"/>
      <c r="M25" s="649"/>
    </row>
    <row r="26" spans="1:13" ht="15.75" customHeight="1">
      <c r="A26" s="660">
        <v>43874</v>
      </c>
      <c r="B26" s="661" t="s">
        <v>864</v>
      </c>
      <c r="C26" s="797" t="s">
        <v>969</v>
      </c>
      <c r="D26" s="661" t="s">
        <v>866</v>
      </c>
      <c r="E26" s="649"/>
      <c r="F26" s="676">
        <v>2050000</v>
      </c>
      <c r="G26" s="662">
        <v>0</v>
      </c>
      <c r="H26" s="662"/>
      <c r="I26" s="663"/>
      <c r="J26" s="663"/>
      <c r="K26" s="663"/>
      <c r="L26" s="663"/>
      <c r="M26" s="649"/>
    </row>
    <row r="27" spans="1:13" ht="15.75" customHeight="1">
      <c r="A27" s="660">
        <v>43874</v>
      </c>
      <c r="B27" s="661" t="s">
        <v>864</v>
      </c>
      <c r="C27" s="797" t="s">
        <v>970</v>
      </c>
      <c r="D27" s="661" t="s">
        <v>866</v>
      </c>
      <c r="E27" s="649"/>
      <c r="F27" s="676">
        <v>320000</v>
      </c>
      <c r="G27" s="662">
        <v>0</v>
      </c>
      <c r="H27" s="662"/>
      <c r="I27" s="663"/>
      <c r="J27" s="663"/>
      <c r="K27" s="663"/>
      <c r="L27" s="663"/>
      <c r="M27" s="649"/>
    </row>
    <row r="28" spans="1:13" ht="15.75" customHeight="1">
      <c r="A28" s="660">
        <v>43874</v>
      </c>
      <c r="B28" s="661" t="s">
        <v>864</v>
      </c>
      <c r="C28" s="797" t="s">
        <v>971</v>
      </c>
      <c r="D28" s="661" t="s">
        <v>866</v>
      </c>
      <c r="E28" s="649"/>
      <c r="F28" s="676">
        <v>1580000</v>
      </c>
      <c r="G28" s="662">
        <v>0</v>
      </c>
      <c r="H28" s="662"/>
      <c r="I28" s="663"/>
      <c r="J28" s="798">
        <f>SUM(F24:F29)</f>
        <v>7329100</v>
      </c>
      <c r="K28" s="663"/>
      <c r="L28" s="663"/>
      <c r="M28" s="649"/>
    </row>
    <row r="29" spans="1:13" ht="15.75" customHeight="1">
      <c r="A29" s="660">
        <v>43874</v>
      </c>
      <c r="B29" s="661" t="s">
        <v>864</v>
      </c>
      <c r="C29" s="797" t="s">
        <v>972</v>
      </c>
      <c r="D29" s="661" t="s">
        <v>866</v>
      </c>
      <c r="E29" s="649"/>
      <c r="F29" s="676">
        <v>300000</v>
      </c>
      <c r="G29" s="662">
        <v>0</v>
      </c>
      <c r="H29" s="662"/>
      <c r="I29" s="663"/>
      <c r="J29" s="663"/>
      <c r="K29" s="663"/>
      <c r="L29" s="663"/>
      <c r="M29" s="649"/>
    </row>
    <row r="30" spans="1:13" ht="15.75" customHeight="1">
      <c r="A30" s="660">
        <v>43889</v>
      </c>
      <c r="B30" s="661" t="s">
        <v>872</v>
      </c>
      <c r="C30" s="661" t="s">
        <v>873</v>
      </c>
      <c r="D30" s="661" t="s">
        <v>853</v>
      </c>
      <c r="E30" s="649"/>
      <c r="F30" s="662"/>
      <c r="G30" s="662">
        <v>0</v>
      </c>
      <c r="H30" s="662"/>
      <c r="I30" s="663"/>
      <c r="J30" s="663"/>
      <c r="K30" s="663"/>
      <c r="L30" s="663"/>
      <c r="M30" s="649"/>
    </row>
    <row r="31" spans="1:13" ht="15.75" customHeight="1">
      <c r="A31" s="660">
        <v>43889</v>
      </c>
      <c r="B31" s="661" t="s">
        <v>872</v>
      </c>
      <c r="C31" s="661" t="s">
        <v>856</v>
      </c>
      <c r="D31" s="661" t="s">
        <v>853</v>
      </c>
      <c r="E31" s="649"/>
      <c r="F31" s="662"/>
      <c r="G31" s="662">
        <v>764700</v>
      </c>
      <c r="H31" s="662"/>
      <c r="I31" s="663"/>
      <c r="J31" s="663"/>
      <c r="K31" s="663"/>
      <c r="L31" s="663"/>
      <c r="M31" s="649"/>
    </row>
    <row r="32" spans="1:13" ht="15.75" customHeight="1">
      <c r="A32" s="660">
        <v>43889</v>
      </c>
      <c r="B32" s="661" t="s">
        <v>872</v>
      </c>
      <c r="C32" s="661" t="s">
        <v>857</v>
      </c>
      <c r="D32" s="661" t="s">
        <v>853</v>
      </c>
      <c r="E32" s="649"/>
      <c r="F32" s="662"/>
      <c r="G32" s="662">
        <v>7310500</v>
      </c>
      <c r="H32" s="662"/>
      <c r="I32" s="663"/>
      <c r="J32" s="663"/>
      <c r="K32" s="663"/>
      <c r="L32" s="663"/>
      <c r="M32" s="649"/>
    </row>
    <row r="33" spans="1:13" ht="15.75" customHeight="1">
      <c r="A33" s="660">
        <v>43889</v>
      </c>
      <c r="B33" s="661" t="s">
        <v>872</v>
      </c>
      <c r="C33" s="661" t="s">
        <v>874</v>
      </c>
      <c r="D33" s="661" t="s">
        <v>853</v>
      </c>
      <c r="E33" s="649"/>
      <c r="F33" s="662"/>
      <c r="G33" s="662">
        <v>0</v>
      </c>
      <c r="H33" s="662"/>
      <c r="I33" s="663"/>
      <c r="J33" s="663"/>
      <c r="K33" s="663"/>
      <c r="L33" s="663"/>
      <c r="M33" s="649"/>
    </row>
    <row r="34" spans="1:13" ht="15.75" customHeight="1">
      <c r="A34" s="660">
        <v>43889</v>
      </c>
      <c r="B34" s="661" t="s">
        <v>872</v>
      </c>
      <c r="C34" s="661" t="s">
        <v>855</v>
      </c>
      <c r="D34" s="661" t="s">
        <v>853</v>
      </c>
      <c r="E34" s="649"/>
      <c r="F34" s="662">
        <v>0</v>
      </c>
      <c r="G34" s="662">
        <v>395000</v>
      </c>
      <c r="H34" s="662"/>
      <c r="I34" s="663"/>
      <c r="J34" s="663"/>
      <c r="K34" s="663"/>
      <c r="L34" s="663"/>
      <c r="M34" s="649"/>
    </row>
    <row r="35" spans="1:13" ht="15.75" customHeight="1">
      <c r="A35" s="660">
        <v>43889</v>
      </c>
      <c r="B35" s="661" t="s">
        <v>872</v>
      </c>
      <c r="C35" s="661" t="s">
        <v>875</v>
      </c>
      <c r="D35" s="661" t="s">
        <v>853</v>
      </c>
      <c r="E35" s="649"/>
      <c r="F35" s="662">
        <v>0</v>
      </c>
      <c r="G35" s="662">
        <v>12792560</v>
      </c>
      <c r="H35" s="662"/>
      <c r="I35" s="663"/>
      <c r="J35" s="663"/>
      <c r="K35" s="663"/>
      <c r="L35" s="663"/>
      <c r="M35" s="649"/>
    </row>
    <row r="36" spans="1:13" ht="15.75" customHeight="1">
      <c r="A36" s="660">
        <v>43889</v>
      </c>
      <c r="B36" s="661" t="s">
        <v>872</v>
      </c>
      <c r="C36" s="661" t="s">
        <v>852</v>
      </c>
      <c r="D36" s="661" t="s">
        <v>853</v>
      </c>
      <c r="E36" s="649"/>
      <c r="F36" s="662">
        <v>0</v>
      </c>
      <c r="G36" s="662">
        <v>46873</v>
      </c>
      <c r="H36" s="662"/>
      <c r="I36" s="663"/>
      <c r="J36" s="663"/>
      <c r="K36" s="663"/>
      <c r="L36" s="663"/>
      <c r="M36" s="649"/>
    </row>
    <row r="37" spans="1:13" ht="15.75" customHeight="1">
      <c r="A37" s="660">
        <v>43889</v>
      </c>
      <c r="B37" s="661" t="s">
        <v>872</v>
      </c>
      <c r="C37" s="661" t="s">
        <v>854</v>
      </c>
      <c r="D37" s="661" t="s">
        <v>853</v>
      </c>
      <c r="E37" s="649"/>
      <c r="F37" s="662">
        <v>0</v>
      </c>
      <c r="G37" s="662">
        <v>338</v>
      </c>
      <c r="H37" s="662"/>
      <c r="I37" s="663"/>
      <c r="J37" s="663"/>
      <c r="K37" s="663"/>
      <c r="L37" s="663"/>
      <c r="M37" s="649"/>
    </row>
    <row r="38" spans="1:13" ht="15.75" customHeight="1">
      <c r="A38" s="660">
        <v>43889</v>
      </c>
      <c r="B38" s="661" t="s">
        <v>876</v>
      </c>
      <c r="C38" s="802" t="s">
        <v>976</v>
      </c>
      <c r="D38" s="661" t="s">
        <v>878</v>
      </c>
      <c r="E38" s="649"/>
      <c r="F38" s="676">
        <v>660000</v>
      </c>
      <c r="G38" s="662">
        <v>0</v>
      </c>
      <c r="H38" s="662"/>
      <c r="I38" s="663"/>
      <c r="J38" s="663"/>
      <c r="K38" s="663"/>
      <c r="L38" s="663"/>
      <c r="M38" s="649"/>
    </row>
    <row r="39" spans="1:13" ht="15.75" customHeight="1">
      <c r="A39" s="660">
        <v>43889</v>
      </c>
      <c r="B39" s="661" t="s">
        <v>876</v>
      </c>
      <c r="C39" s="802" t="s">
        <v>977</v>
      </c>
      <c r="D39" s="661" t="s">
        <v>878</v>
      </c>
      <c r="E39" s="649"/>
      <c r="F39" s="676">
        <v>135000</v>
      </c>
      <c r="G39" s="662">
        <v>0</v>
      </c>
      <c r="H39" s="662"/>
      <c r="I39" s="663"/>
      <c r="J39" s="663"/>
      <c r="K39" s="663"/>
      <c r="L39" s="663"/>
      <c r="M39" s="649"/>
    </row>
    <row r="40" spans="1:13" ht="15.75" customHeight="1">
      <c r="A40" s="660">
        <v>43902</v>
      </c>
      <c r="B40" s="661" t="s">
        <v>885</v>
      </c>
      <c r="C40" s="800" t="s">
        <v>973</v>
      </c>
      <c r="D40" s="661" t="s">
        <v>887</v>
      </c>
      <c r="E40" s="649"/>
      <c r="F40" s="676">
        <v>303346</v>
      </c>
      <c r="G40" s="662">
        <v>0</v>
      </c>
      <c r="H40" s="662"/>
      <c r="I40" s="663"/>
      <c r="J40" s="801">
        <f>+F40+F41+F42</f>
        <v>2119905</v>
      </c>
      <c r="K40" s="663"/>
      <c r="L40" s="663"/>
      <c r="M40" s="649"/>
    </row>
    <row r="41" spans="1:13" ht="15.75" customHeight="1">
      <c r="A41" s="660">
        <v>43902</v>
      </c>
      <c r="B41" s="661" t="s">
        <v>885</v>
      </c>
      <c r="C41" s="800" t="s">
        <v>974</v>
      </c>
      <c r="D41" s="661" t="s">
        <v>887</v>
      </c>
      <c r="E41" s="649"/>
      <c r="F41" s="676">
        <v>1596559</v>
      </c>
      <c r="G41" s="662">
        <v>0</v>
      </c>
      <c r="H41" s="662"/>
      <c r="I41" s="663"/>
      <c r="J41" s="663"/>
      <c r="K41" s="677"/>
      <c r="L41" s="663"/>
      <c r="M41" s="649"/>
    </row>
    <row r="42" spans="1:13" ht="15.75" customHeight="1">
      <c r="A42" s="660">
        <v>43908</v>
      </c>
      <c r="B42" s="661" t="s">
        <v>893</v>
      </c>
      <c r="C42" s="800" t="s">
        <v>975</v>
      </c>
      <c r="D42" s="661" t="s">
        <v>895</v>
      </c>
      <c r="E42" s="649"/>
      <c r="F42" s="676">
        <v>220000</v>
      </c>
      <c r="G42" s="662">
        <v>0</v>
      </c>
      <c r="H42" s="662"/>
      <c r="I42" s="663"/>
      <c r="J42" s="663"/>
      <c r="K42" s="663"/>
      <c r="L42" s="663"/>
      <c r="M42" s="649"/>
    </row>
    <row r="43" spans="1:13" ht="15.75" customHeight="1">
      <c r="A43" s="660">
        <v>43908</v>
      </c>
      <c r="B43" s="661" t="s">
        <v>896</v>
      </c>
      <c r="C43" s="803" t="s">
        <v>978</v>
      </c>
      <c r="D43" s="661" t="s">
        <v>898</v>
      </c>
      <c r="E43" s="649"/>
      <c r="F43" s="676">
        <v>250000</v>
      </c>
      <c r="G43" s="662">
        <v>0</v>
      </c>
      <c r="H43" s="662"/>
      <c r="I43" s="663"/>
      <c r="J43" s="804">
        <f>+F43+F44</f>
        <v>1600000</v>
      </c>
      <c r="K43" s="663"/>
      <c r="L43" s="663"/>
      <c r="M43" s="649"/>
    </row>
    <row r="44" spans="1:13" ht="15.75" customHeight="1">
      <c r="A44" s="660">
        <v>43908</v>
      </c>
      <c r="B44" s="661" t="s">
        <v>896</v>
      </c>
      <c r="C44" s="803" t="s">
        <v>979</v>
      </c>
      <c r="D44" s="661" t="s">
        <v>898</v>
      </c>
      <c r="E44" s="649"/>
      <c r="F44" s="676">
        <v>1350000</v>
      </c>
      <c r="G44" s="662">
        <v>0</v>
      </c>
      <c r="H44" s="662"/>
      <c r="I44" s="663"/>
      <c r="J44" s="663"/>
      <c r="K44" s="663"/>
      <c r="L44" s="663"/>
      <c r="M44" s="649"/>
    </row>
    <row r="45" spans="1:13" ht="15.75" customHeight="1">
      <c r="A45" s="660">
        <v>43920</v>
      </c>
      <c r="B45" s="661" t="s">
        <v>900</v>
      </c>
      <c r="C45" s="661" t="s">
        <v>854</v>
      </c>
      <c r="D45" s="661" t="s">
        <v>853</v>
      </c>
      <c r="E45" s="649"/>
      <c r="F45" s="662">
        <v>0</v>
      </c>
      <c r="G45" s="662">
        <v>120189</v>
      </c>
      <c r="H45" s="662"/>
      <c r="I45" s="663"/>
      <c r="J45" s="663"/>
      <c r="K45" s="663"/>
      <c r="L45" s="663"/>
      <c r="M45" s="649"/>
    </row>
    <row r="46" spans="1:13" ht="15.75" customHeight="1">
      <c r="A46" s="660">
        <v>43920</v>
      </c>
      <c r="B46" s="661" t="s">
        <v>900</v>
      </c>
      <c r="C46" s="661" t="s">
        <v>855</v>
      </c>
      <c r="D46" s="661" t="s">
        <v>853</v>
      </c>
      <c r="E46" s="649"/>
      <c r="F46" s="662">
        <v>0</v>
      </c>
      <c r="G46" s="662">
        <v>125000</v>
      </c>
      <c r="H46" s="662"/>
      <c r="I46" s="663"/>
      <c r="J46" s="663"/>
      <c r="K46" s="663"/>
      <c r="L46" s="663"/>
      <c r="M46" s="649"/>
    </row>
    <row r="47" spans="1:13" ht="15.75" customHeight="1">
      <c r="A47" s="660">
        <v>43920</v>
      </c>
      <c r="B47" s="661" t="s">
        <v>900</v>
      </c>
      <c r="C47" s="661" t="s">
        <v>856</v>
      </c>
      <c r="D47" s="661" t="s">
        <v>853</v>
      </c>
      <c r="E47" s="649"/>
      <c r="F47" s="662">
        <v>0</v>
      </c>
      <c r="G47" s="662">
        <v>1351500</v>
      </c>
      <c r="H47" s="662"/>
      <c r="I47" s="663"/>
      <c r="J47" s="663"/>
      <c r="K47" s="663"/>
      <c r="L47" s="663"/>
      <c r="M47" s="649"/>
    </row>
    <row r="48" spans="1:13" ht="15.75" customHeight="1">
      <c r="A48" s="660">
        <v>43920</v>
      </c>
      <c r="B48" s="661" t="s">
        <v>900</v>
      </c>
      <c r="C48" s="661" t="s">
        <v>901</v>
      </c>
      <c r="D48" s="661" t="s">
        <v>853</v>
      </c>
      <c r="E48" s="649"/>
      <c r="F48" s="662">
        <v>0</v>
      </c>
      <c r="G48" s="662">
        <v>199300</v>
      </c>
      <c r="H48" s="662"/>
      <c r="I48" s="663"/>
      <c r="J48" s="663"/>
      <c r="K48" s="663"/>
      <c r="L48" s="663"/>
      <c r="M48" s="649"/>
    </row>
    <row r="49" spans="1:13" ht="15.75" customHeight="1">
      <c r="A49" s="649"/>
      <c r="B49" s="649"/>
      <c r="C49" s="659"/>
      <c r="D49" s="659"/>
      <c r="E49" s="659"/>
      <c r="F49" s="805">
        <f>SUM(F20:F48)</f>
        <v>13176900</v>
      </c>
      <c r="G49" s="658"/>
      <c r="H49" s="808">
        <v>26117141</v>
      </c>
      <c r="I49" s="649"/>
      <c r="J49" s="649"/>
      <c r="K49" s="649"/>
      <c r="L49" s="649"/>
      <c r="M49" s="649"/>
    </row>
    <row r="50" spans="1:13" ht="15.75" customHeight="1">
      <c r="A50" s="649"/>
      <c r="B50" s="649"/>
      <c r="C50" s="649"/>
      <c r="D50" s="659"/>
      <c r="E50" s="659"/>
      <c r="F50" s="658"/>
      <c r="G50" s="658"/>
      <c r="H50" s="655"/>
      <c r="I50" s="649"/>
      <c r="J50" s="649"/>
      <c r="K50" s="649"/>
      <c r="L50" s="649"/>
      <c r="M50" s="649"/>
    </row>
    <row r="51" spans="1:13" ht="15.75" customHeight="1">
      <c r="A51" s="656" t="s">
        <v>902</v>
      </c>
      <c r="B51" s="654"/>
      <c r="C51" s="654" t="s">
        <v>981</v>
      </c>
      <c r="D51" s="654"/>
      <c r="E51" s="657" t="s">
        <v>799</v>
      </c>
      <c r="F51" s="658"/>
      <c r="G51" s="655"/>
      <c r="H51" s="658"/>
      <c r="I51" s="659"/>
      <c r="J51" s="659"/>
      <c r="K51" s="649"/>
      <c r="L51" s="649"/>
      <c r="M51" s="649"/>
    </row>
    <row r="52" spans="1:13" ht="15.75" customHeight="1">
      <c r="A52" s="660">
        <v>43831</v>
      </c>
      <c r="B52" s="661" t="s">
        <v>903</v>
      </c>
      <c r="C52" s="661" t="s">
        <v>904</v>
      </c>
      <c r="D52" s="649"/>
      <c r="E52" s="649"/>
      <c r="F52" s="662">
        <v>0</v>
      </c>
      <c r="G52" s="681">
        <v>29592626.559999999</v>
      </c>
      <c r="H52" s="681">
        <v>20311097</v>
      </c>
      <c r="I52" s="663"/>
      <c r="J52" s="663"/>
      <c r="K52" s="663"/>
      <c r="L52" s="663"/>
      <c r="M52" s="649"/>
    </row>
    <row r="53" spans="1:13" ht="15.75" customHeight="1">
      <c r="A53" s="649"/>
      <c r="B53" s="649"/>
      <c r="C53" s="659"/>
      <c r="D53" s="659"/>
      <c r="E53" s="659"/>
      <c r="F53" s="658"/>
      <c r="G53" s="658"/>
      <c r="H53" s="655"/>
      <c r="I53" s="649"/>
      <c r="J53" s="649"/>
      <c r="K53" s="649"/>
      <c r="L53" s="649"/>
      <c r="M53" s="649"/>
    </row>
    <row r="54" spans="1:13" ht="15.75" customHeight="1">
      <c r="A54" s="649"/>
      <c r="B54" s="649"/>
      <c r="C54" s="649"/>
      <c r="D54" s="659"/>
      <c r="E54" s="659"/>
      <c r="F54" s="658"/>
      <c r="G54" s="658"/>
      <c r="H54" s="655"/>
      <c r="I54" s="649"/>
      <c r="J54" s="649"/>
      <c r="K54" s="649"/>
      <c r="L54" s="649"/>
      <c r="M54" s="649"/>
    </row>
    <row r="55" spans="1:13" ht="15.75" customHeight="1">
      <c r="A55" s="664">
        <v>43903</v>
      </c>
      <c r="B55" s="665" t="s">
        <v>889</v>
      </c>
      <c r="C55" s="665" t="s">
        <v>890</v>
      </c>
      <c r="D55" s="665" t="s">
        <v>891</v>
      </c>
      <c r="E55" s="666"/>
      <c r="F55" s="667">
        <v>1650000</v>
      </c>
      <c r="G55" s="667"/>
      <c r="H55" s="667">
        <v>17085623</v>
      </c>
      <c r="I55" s="675"/>
      <c r="J55" s="675" t="s">
        <v>892</v>
      </c>
      <c r="K55" s="649"/>
      <c r="L55" s="649"/>
      <c r="M55" s="649"/>
    </row>
    <row r="56" spans="1:13" ht="15.75">
      <c r="A56" s="649"/>
      <c r="B56" s="649"/>
      <c r="C56" s="682"/>
      <c r="D56" s="649"/>
      <c r="E56" s="649"/>
      <c r="F56" s="655"/>
      <c r="G56" s="655"/>
      <c r="H56" s="655"/>
      <c r="I56" s="649"/>
      <c r="J56" s="649"/>
      <c r="K56" s="649"/>
      <c r="L56" s="649"/>
      <c r="M56" s="649"/>
    </row>
    <row r="57" spans="1:13" ht="15.75" customHeight="1">
      <c r="A57" s="649"/>
      <c r="B57" s="654"/>
      <c r="C57" s="682"/>
      <c r="D57" s="649"/>
      <c r="E57" s="649"/>
      <c r="F57" s="655"/>
      <c r="G57" s="655"/>
      <c r="H57" s="655"/>
      <c r="I57" s="649"/>
      <c r="J57" s="649"/>
      <c r="K57" s="649"/>
      <c r="L57" s="649"/>
      <c r="M57" s="649"/>
    </row>
  </sheetData>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92"/>
  <sheetViews>
    <sheetView workbookViewId="0">
      <selection activeCell="F27" sqref="F27"/>
    </sheetView>
  </sheetViews>
  <sheetFormatPr baseColWidth="10" defaultColWidth="10.85546875" defaultRowHeight="15"/>
  <cols>
    <col min="1" max="1" width="3.28515625" style="300" customWidth="1"/>
    <col min="2" max="2" width="54.5703125" style="300" bestFit="1" customWidth="1"/>
    <col min="3" max="4" width="21.140625" style="300" hidden="1" customWidth="1"/>
    <col min="5" max="5" width="17.42578125" style="300" bestFit="1" customWidth="1"/>
    <col min="6" max="6" width="17.42578125" style="686" customWidth="1"/>
    <col min="7" max="7" width="17.42578125" style="300" customWidth="1"/>
    <col min="8" max="8" width="13.140625" style="685" customWidth="1"/>
    <col min="9" max="9" width="10.85546875" style="685" customWidth="1"/>
    <col min="10" max="10" width="61.85546875" style="456" bestFit="1" customWidth="1"/>
    <col min="11" max="11" width="17.42578125" style="300" customWidth="1"/>
    <col min="12" max="12" width="12.85546875" style="300" customWidth="1"/>
    <col min="13" max="14" width="13.85546875" style="300" customWidth="1"/>
    <col min="15" max="15" width="12.85546875" style="300" bestFit="1" customWidth="1"/>
    <col min="16" max="16384" width="10.85546875" style="300"/>
  </cols>
  <sheetData>
    <row r="1" spans="2:16" ht="15.75">
      <c r="B1" s="1002" t="s">
        <v>18</v>
      </c>
      <c r="C1" s="1002"/>
      <c r="D1" s="1002"/>
      <c r="E1" s="1002"/>
      <c r="F1" s="1002"/>
      <c r="G1" s="1002"/>
      <c r="H1" s="1002"/>
      <c r="I1" s="771"/>
    </row>
    <row r="2" spans="2:16" ht="15.75">
      <c r="B2" s="1002" t="s">
        <v>97</v>
      </c>
      <c r="C2" s="1002"/>
      <c r="D2" s="1002"/>
      <c r="E2" s="1002"/>
      <c r="F2" s="1002"/>
      <c r="G2" s="1002"/>
      <c r="H2" s="1002"/>
      <c r="I2" s="771"/>
    </row>
    <row r="3" spans="2:16" ht="15.75">
      <c r="B3" s="1002" t="s">
        <v>961</v>
      </c>
      <c r="C3" s="1002"/>
      <c r="D3" s="1002"/>
      <c r="E3" s="1002"/>
      <c r="F3" s="1002"/>
      <c r="G3" s="1002"/>
      <c r="H3" s="1002"/>
      <c r="I3" s="771"/>
      <c r="M3" s="770">
        <v>1.06</v>
      </c>
      <c r="N3" s="769">
        <v>1.038</v>
      </c>
    </row>
    <row r="4" spans="2:16" ht="16.5" thickBot="1">
      <c r="B4" s="774"/>
      <c r="C4" s="774"/>
      <c r="D4" s="774"/>
      <c r="E4" s="772"/>
      <c r="F4" s="773"/>
      <c r="G4" s="772"/>
      <c r="H4" s="771"/>
      <c r="I4" s="771"/>
      <c r="M4" s="770"/>
      <c r="N4" s="769"/>
    </row>
    <row r="5" spans="2:16" ht="15.75">
      <c r="B5" s="1003" t="s">
        <v>98</v>
      </c>
      <c r="C5" s="767" t="s">
        <v>99</v>
      </c>
      <c r="D5" s="767" t="s">
        <v>99</v>
      </c>
      <c r="E5" s="767" t="s">
        <v>326</v>
      </c>
      <c r="F5" s="768" t="s">
        <v>960</v>
      </c>
      <c r="G5" s="767" t="s">
        <v>960</v>
      </c>
      <c r="H5" s="766" t="s">
        <v>703</v>
      </c>
      <c r="I5" s="766" t="s">
        <v>703</v>
      </c>
      <c r="J5" s="765" t="s">
        <v>959</v>
      </c>
    </row>
    <row r="6" spans="2:16" ht="15.75">
      <c r="B6" s="1004"/>
      <c r="C6" s="763" t="s">
        <v>958</v>
      </c>
      <c r="D6" s="763" t="s">
        <v>957</v>
      </c>
      <c r="E6" s="763" t="s">
        <v>957</v>
      </c>
      <c r="F6" s="764" t="s">
        <v>741</v>
      </c>
      <c r="G6" s="763" t="s">
        <v>740</v>
      </c>
      <c r="H6" s="762" t="s">
        <v>956</v>
      </c>
      <c r="I6" s="762" t="s">
        <v>955</v>
      </c>
      <c r="J6" s="761"/>
    </row>
    <row r="7" spans="2:16">
      <c r="B7" s="708" t="s">
        <v>101</v>
      </c>
      <c r="C7" s="706">
        <v>89638000</v>
      </c>
      <c r="D7" s="706">
        <f>+C7*12</f>
        <v>1075656000</v>
      </c>
      <c r="E7" s="706">
        <v>1075656000</v>
      </c>
      <c r="F7" s="707">
        <f>+G7*12</f>
        <v>1139460000</v>
      </c>
      <c r="G7" s="706">
        <v>94955000</v>
      </c>
      <c r="H7" s="702">
        <f>+F7/E7-1</f>
        <v>5.9316361364599945E-2</v>
      </c>
      <c r="I7" s="702">
        <f>+F7/D7-1</f>
        <v>5.9316361364599945E-2</v>
      </c>
      <c r="J7" s="690" t="s">
        <v>954</v>
      </c>
      <c r="M7" s="731">
        <f t="shared" ref="M7:M15" si="0">+C7*$M$3</f>
        <v>95016280</v>
      </c>
      <c r="N7" s="731">
        <f t="shared" ref="N7:N48" si="1">+C7*$N$3</f>
        <v>93044244</v>
      </c>
    </row>
    <row r="8" spans="2:16">
      <c r="B8" s="708" t="s">
        <v>104</v>
      </c>
      <c r="C8" s="706">
        <v>-7218000</v>
      </c>
      <c r="D8" s="706">
        <f>+C8*12</f>
        <v>-86616000</v>
      </c>
      <c r="E8" s="706">
        <v>-86502244</v>
      </c>
      <c r="F8" s="707">
        <f>+G8*12</f>
        <v>-101412000</v>
      </c>
      <c r="G8" s="706">
        <f>ROUND((-G7*10%)*89%,-3)</f>
        <v>-8451000</v>
      </c>
      <c r="H8" s="702">
        <f>+F8/E8-1</f>
        <v>0.17236264992154426</v>
      </c>
      <c r="I8" s="702">
        <f>+F8/D8-1</f>
        <v>0.1708229426433916</v>
      </c>
      <c r="J8" s="690" t="s">
        <v>953</v>
      </c>
      <c r="K8" s="760"/>
      <c r="M8" s="731">
        <f t="shared" si="0"/>
        <v>-7651080</v>
      </c>
      <c r="N8" s="731">
        <f t="shared" si="1"/>
        <v>-7492284</v>
      </c>
    </row>
    <row r="9" spans="2:16">
      <c r="B9" s="708" t="s">
        <v>105</v>
      </c>
      <c r="C9" s="706">
        <v>-385000</v>
      </c>
      <c r="D9" s="706">
        <f>+C9*12</f>
        <v>-4620000</v>
      </c>
      <c r="E9" s="706">
        <v>-3849000</v>
      </c>
      <c r="F9" s="707">
        <f>+G9*12</f>
        <v>-4620000</v>
      </c>
      <c r="G9" s="706">
        <f>-55000*7</f>
        <v>-385000</v>
      </c>
      <c r="H9" s="702">
        <f>+F9/E9-1</f>
        <v>0.20031176929072481</v>
      </c>
      <c r="I9" s="702">
        <f>+F9/D9-1</f>
        <v>0</v>
      </c>
      <c r="J9" s="690" t="s">
        <v>952</v>
      </c>
      <c r="M9" s="731">
        <f t="shared" si="0"/>
        <v>-408100</v>
      </c>
      <c r="N9" s="731">
        <f t="shared" si="1"/>
        <v>-399630</v>
      </c>
    </row>
    <row r="10" spans="2:16" ht="27.75" customHeight="1">
      <c r="B10" s="759" t="s">
        <v>106</v>
      </c>
      <c r="C10" s="738">
        <f>SUM(C7:C9)</f>
        <v>82035000</v>
      </c>
      <c r="D10" s="738">
        <f>SUM(D7:D9)</f>
        <v>984420000</v>
      </c>
      <c r="E10" s="738">
        <f>SUM(E7:E9)</f>
        <v>985304756</v>
      </c>
      <c r="F10" s="700">
        <f>SUM(F7:F9)</f>
        <v>1033428000</v>
      </c>
      <c r="G10" s="738">
        <f>SUM(G7:G9)</f>
        <v>86119000</v>
      </c>
      <c r="H10" s="758">
        <f>+F10/E10-1</f>
        <v>4.8840974030577078E-2</v>
      </c>
      <c r="I10" s="758">
        <f>+F10/D10-1</f>
        <v>4.9783628938867563E-2</v>
      </c>
      <c r="J10" s="757"/>
      <c r="M10" s="731">
        <f t="shared" si="0"/>
        <v>86957100</v>
      </c>
      <c r="N10" s="731">
        <f t="shared" si="1"/>
        <v>85152330</v>
      </c>
      <c r="O10" s="307"/>
      <c r="P10" s="688"/>
    </row>
    <row r="11" spans="2:16">
      <c r="B11" s="756"/>
      <c r="C11" s="621"/>
      <c r="D11" s="621"/>
      <c r="E11" s="621"/>
      <c r="F11" s="755"/>
      <c r="G11" s="621"/>
      <c r="H11" s="754"/>
      <c r="I11" s="754"/>
      <c r="J11" s="690"/>
      <c r="M11" s="731">
        <f t="shared" si="0"/>
        <v>0</v>
      </c>
      <c r="N11" s="731">
        <f t="shared" si="1"/>
        <v>0</v>
      </c>
    </row>
    <row r="12" spans="2:16">
      <c r="B12" s="741" t="s">
        <v>107</v>
      </c>
      <c r="C12" s="710">
        <v>669000</v>
      </c>
      <c r="D12" s="706">
        <f>+C12*12</f>
        <v>8028000</v>
      </c>
      <c r="E12" s="706">
        <v>8028000</v>
      </c>
      <c r="F12" s="707">
        <f>+G12*12</f>
        <v>8509680</v>
      </c>
      <c r="G12" s="706">
        <f>669000*1.06</f>
        <v>709140</v>
      </c>
      <c r="H12" s="702">
        <f t="shared" ref="H12:H48" si="2">+F12/E12-1</f>
        <v>6.0000000000000053E-2</v>
      </c>
      <c r="I12" s="702">
        <f t="shared" ref="I12:I48" si="3">+F12/D12-1</f>
        <v>6.0000000000000053E-2</v>
      </c>
      <c r="J12" s="690" t="s">
        <v>947</v>
      </c>
      <c r="M12" s="731">
        <f t="shared" si="0"/>
        <v>709140</v>
      </c>
      <c r="N12" s="731">
        <f t="shared" si="1"/>
        <v>694422</v>
      </c>
    </row>
    <row r="13" spans="2:16">
      <c r="B13" s="708" t="s">
        <v>108</v>
      </c>
      <c r="C13" s="706">
        <v>2768000</v>
      </c>
      <c r="D13" s="706">
        <f>+C13*12</f>
        <v>33216000</v>
      </c>
      <c r="E13" s="706">
        <v>32663000</v>
      </c>
      <c r="F13" s="707">
        <f>+G13*12</f>
        <v>35208000</v>
      </c>
      <c r="G13" s="706">
        <v>2934000</v>
      </c>
      <c r="H13" s="702">
        <f t="shared" si="2"/>
        <v>7.7916909040810722E-2</v>
      </c>
      <c r="I13" s="702">
        <f t="shared" si="3"/>
        <v>5.9971098265895861E-2</v>
      </c>
      <c r="J13" s="690" t="s">
        <v>947</v>
      </c>
      <c r="M13" s="731">
        <f t="shared" si="0"/>
        <v>2934080</v>
      </c>
      <c r="N13" s="731">
        <f t="shared" si="1"/>
        <v>2873184</v>
      </c>
    </row>
    <row r="14" spans="2:16">
      <c r="B14" s="708" t="s">
        <v>951</v>
      </c>
      <c r="C14" s="706">
        <v>824000</v>
      </c>
      <c r="D14" s="706">
        <f>+C14*12</f>
        <v>9888000</v>
      </c>
      <c r="E14" s="706">
        <v>9888000</v>
      </c>
      <c r="F14" s="707">
        <f>+G14*12</f>
        <v>10536000</v>
      </c>
      <c r="G14" s="706">
        <v>878000</v>
      </c>
      <c r="H14" s="702">
        <f t="shared" si="2"/>
        <v>6.5533980582524354E-2</v>
      </c>
      <c r="I14" s="702">
        <f t="shared" si="3"/>
        <v>6.5533980582524354E-2</v>
      </c>
      <c r="J14" s="690" t="s">
        <v>947</v>
      </c>
      <c r="M14" s="731">
        <f t="shared" si="0"/>
        <v>873440</v>
      </c>
      <c r="N14" s="731">
        <f t="shared" si="1"/>
        <v>855312</v>
      </c>
    </row>
    <row r="15" spans="2:16">
      <c r="B15" s="753" t="s">
        <v>950</v>
      </c>
      <c r="C15" s="751">
        <v>175000</v>
      </c>
      <c r="D15" s="751">
        <f>+C15*12</f>
        <v>2100000</v>
      </c>
      <c r="E15" s="706">
        <v>2099999</v>
      </c>
      <c r="F15" s="752">
        <f>+G15*12</f>
        <v>600000</v>
      </c>
      <c r="G15" s="751">
        <v>50000</v>
      </c>
      <c r="H15" s="750">
        <f t="shared" si="2"/>
        <v>-0.71428557823122774</v>
      </c>
      <c r="I15" s="750">
        <f t="shared" si="3"/>
        <v>-0.7142857142857143</v>
      </c>
      <c r="J15" s="690" t="s">
        <v>918</v>
      </c>
      <c r="M15" s="731">
        <f t="shared" si="0"/>
        <v>185500</v>
      </c>
      <c r="N15" s="731">
        <f t="shared" si="1"/>
        <v>181650</v>
      </c>
    </row>
    <row r="16" spans="2:16" ht="20.25" customHeight="1">
      <c r="B16" s="739" t="s">
        <v>110</v>
      </c>
      <c r="C16" s="738">
        <f>SUM(C12:C15)</f>
        <v>4436000</v>
      </c>
      <c r="D16" s="738">
        <f>SUM(D12:D15)</f>
        <v>53232000</v>
      </c>
      <c r="E16" s="738">
        <f>SUM(E12:E15)</f>
        <v>52678999</v>
      </c>
      <c r="F16" s="700">
        <f>SUM(F12:F15)</f>
        <v>54853680</v>
      </c>
      <c r="G16" s="738">
        <f>SUM(G12:G15)</f>
        <v>4571140</v>
      </c>
      <c r="H16" s="737">
        <f t="shared" si="2"/>
        <v>4.1281744932169184E-2</v>
      </c>
      <c r="I16" s="736">
        <f t="shared" si="3"/>
        <v>3.0464382326420125E-2</v>
      </c>
      <c r="J16" s="690"/>
      <c r="K16" s="749">
        <v>44179244</v>
      </c>
      <c r="L16" s="300">
        <f>+M16/12</f>
        <v>3902499.8866666667</v>
      </c>
      <c r="M16" s="749">
        <f>+K16*M3</f>
        <v>46829998.640000001</v>
      </c>
      <c r="N16" s="731">
        <f t="shared" si="1"/>
        <v>4604568</v>
      </c>
      <c r="O16" s="307"/>
      <c r="P16" s="688"/>
    </row>
    <row r="17" spans="2:16">
      <c r="B17" s="748" t="s">
        <v>111</v>
      </c>
      <c r="C17" s="746">
        <v>3000000</v>
      </c>
      <c r="D17" s="746">
        <f>+C17*12</f>
        <v>36000000</v>
      </c>
      <c r="E17" s="706">
        <v>37438652</v>
      </c>
      <c r="F17" s="747">
        <f>+G17*12</f>
        <v>44208000</v>
      </c>
      <c r="G17" s="746">
        <v>3684000</v>
      </c>
      <c r="H17" s="745">
        <f t="shared" si="2"/>
        <v>0.18081174503825626</v>
      </c>
      <c r="I17" s="745">
        <f t="shared" si="3"/>
        <v>0.22799999999999998</v>
      </c>
      <c r="J17" s="690" t="s">
        <v>949</v>
      </c>
      <c r="K17" s="300">
        <v>28593788</v>
      </c>
      <c r="L17" s="300">
        <f>+L16*4</f>
        <v>15609999.546666667</v>
      </c>
      <c r="M17" s="731">
        <f t="shared" ref="M17:M40" si="4">+C17*$M$3</f>
        <v>3180000</v>
      </c>
      <c r="N17" s="731">
        <f t="shared" si="1"/>
        <v>3114000</v>
      </c>
    </row>
    <row r="18" spans="2:16" ht="19.5" customHeight="1">
      <c r="B18" s="744" t="s">
        <v>112</v>
      </c>
      <c r="C18" s="743">
        <f>+C17</f>
        <v>3000000</v>
      </c>
      <c r="D18" s="743">
        <f>+D17</f>
        <v>36000000</v>
      </c>
      <c r="E18" s="743">
        <f>+E17</f>
        <v>37438652</v>
      </c>
      <c r="F18" s="704">
        <f>+F17</f>
        <v>44208000</v>
      </c>
      <c r="G18" s="743">
        <f>+G17</f>
        <v>3684000</v>
      </c>
      <c r="H18" s="736">
        <f t="shared" si="2"/>
        <v>0.18081174503825626</v>
      </c>
      <c r="I18" s="736">
        <f t="shared" si="3"/>
        <v>0.22799999999999998</v>
      </c>
      <c r="J18" s="690"/>
      <c r="K18" s="742">
        <f>+K17+L17</f>
        <v>44203787.546666667</v>
      </c>
      <c r="L18" s="735">
        <f>+K18/12</f>
        <v>3683648.9622222222</v>
      </c>
      <c r="M18" s="731">
        <f t="shared" si="4"/>
        <v>3180000</v>
      </c>
      <c r="N18" s="731">
        <f t="shared" si="1"/>
        <v>3114000</v>
      </c>
      <c r="O18" s="307"/>
      <c r="P18" s="688"/>
    </row>
    <row r="19" spans="2:16">
      <c r="B19" s="708" t="s">
        <v>113</v>
      </c>
      <c r="C19" s="706">
        <v>39800000</v>
      </c>
      <c r="D19" s="706">
        <f t="shared" ref="D19:D27" si="5">+C19*12</f>
        <v>477600000</v>
      </c>
      <c r="E19" s="706">
        <v>475768121</v>
      </c>
      <c r="F19" s="707">
        <f t="shared" ref="F19:F27" si="6">+G19*12</f>
        <v>504012000</v>
      </c>
      <c r="G19" s="706">
        <v>42001000</v>
      </c>
      <c r="H19" s="702">
        <f t="shared" si="2"/>
        <v>5.9364799265312795E-2</v>
      </c>
      <c r="I19" s="702">
        <f t="shared" si="3"/>
        <v>5.5301507537688366E-2</v>
      </c>
      <c r="J19" s="690" t="s">
        <v>918</v>
      </c>
      <c r="M19" s="731">
        <f t="shared" si="4"/>
        <v>42188000</v>
      </c>
      <c r="N19" s="731">
        <f t="shared" si="1"/>
        <v>41312400</v>
      </c>
    </row>
    <row r="20" spans="2:16">
      <c r="B20" s="741" t="s">
        <v>948</v>
      </c>
      <c r="C20" s="706">
        <v>250000</v>
      </c>
      <c r="D20" s="706">
        <f t="shared" si="5"/>
        <v>3000000</v>
      </c>
      <c r="E20" s="706">
        <v>3000000</v>
      </c>
      <c r="F20" s="707">
        <f t="shared" si="6"/>
        <v>0</v>
      </c>
      <c r="G20" s="706"/>
      <c r="H20" s="702">
        <f t="shared" si="2"/>
        <v>-1</v>
      </c>
      <c r="I20" s="702">
        <f t="shared" si="3"/>
        <v>-1</v>
      </c>
      <c r="J20" s="690" t="s">
        <v>947</v>
      </c>
      <c r="M20" s="731">
        <f t="shared" si="4"/>
        <v>265000</v>
      </c>
      <c r="N20" s="731">
        <f t="shared" si="1"/>
        <v>259500</v>
      </c>
    </row>
    <row r="21" spans="2:16">
      <c r="B21" s="708" t="s">
        <v>114</v>
      </c>
      <c r="C21" s="706">
        <v>7680000</v>
      </c>
      <c r="D21" s="706">
        <f t="shared" si="5"/>
        <v>92160000</v>
      </c>
      <c r="E21" s="706">
        <v>92160000</v>
      </c>
      <c r="F21" s="707">
        <f t="shared" si="6"/>
        <v>93888000</v>
      </c>
      <c r="G21" s="706">
        <v>7824000</v>
      </c>
      <c r="H21" s="702">
        <f t="shared" si="2"/>
        <v>1.8750000000000044E-2</v>
      </c>
      <c r="I21" s="702">
        <f t="shared" si="3"/>
        <v>1.8750000000000044E-2</v>
      </c>
      <c r="J21" s="690" t="s">
        <v>947</v>
      </c>
      <c r="M21" s="731">
        <f t="shared" si="4"/>
        <v>8140800</v>
      </c>
      <c r="N21" s="731">
        <f t="shared" si="1"/>
        <v>7971840</v>
      </c>
    </row>
    <row r="22" spans="2:16">
      <c r="B22" s="708" t="s">
        <v>115</v>
      </c>
      <c r="C22" s="706">
        <v>1750000</v>
      </c>
      <c r="D22" s="706">
        <f t="shared" si="5"/>
        <v>21000000</v>
      </c>
      <c r="E22" s="706">
        <v>20700991</v>
      </c>
      <c r="F22" s="707">
        <f t="shared" si="6"/>
        <v>22260000</v>
      </c>
      <c r="G22" s="706">
        <v>1855000</v>
      </c>
      <c r="H22" s="702">
        <f t="shared" si="2"/>
        <v>7.5310838983505768E-2</v>
      </c>
      <c r="I22" s="702">
        <f t="shared" si="3"/>
        <v>6.0000000000000053E-2</v>
      </c>
      <c r="J22" s="690" t="s">
        <v>947</v>
      </c>
      <c r="M22" s="731">
        <f t="shared" si="4"/>
        <v>1855000</v>
      </c>
      <c r="N22" s="731">
        <f t="shared" si="1"/>
        <v>1816500</v>
      </c>
    </row>
    <row r="23" spans="2:16">
      <c r="B23" s="708" t="s">
        <v>116</v>
      </c>
      <c r="C23" s="706">
        <v>135000</v>
      </c>
      <c r="D23" s="706">
        <f t="shared" si="5"/>
        <v>1620000</v>
      </c>
      <c r="E23" s="706">
        <v>1626900</v>
      </c>
      <c r="F23" s="707">
        <f t="shared" si="6"/>
        <v>1728000</v>
      </c>
      <c r="G23" s="706">
        <v>144000</v>
      </c>
      <c r="H23" s="702">
        <f t="shared" si="2"/>
        <v>6.2142725428729451E-2</v>
      </c>
      <c r="I23" s="702">
        <f t="shared" si="3"/>
        <v>6.6666666666666652E-2</v>
      </c>
      <c r="J23" s="690" t="s">
        <v>947</v>
      </c>
      <c r="M23" s="731">
        <f t="shared" si="4"/>
        <v>143100</v>
      </c>
      <c r="N23" s="731">
        <f t="shared" si="1"/>
        <v>140130</v>
      </c>
    </row>
    <row r="24" spans="2:16">
      <c r="B24" s="708" t="s">
        <v>117</v>
      </c>
      <c r="C24" s="706">
        <v>510000</v>
      </c>
      <c r="D24" s="706">
        <f t="shared" si="5"/>
        <v>6120000</v>
      </c>
      <c r="E24" s="706">
        <v>8120301</v>
      </c>
      <c r="F24" s="707">
        <f t="shared" si="6"/>
        <v>8880000</v>
      </c>
      <c r="G24" s="706">
        <v>740000</v>
      </c>
      <c r="H24" s="702">
        <f t="shared" si="2"/>
        <v>9.3555522141359093E-2</v>
      </c>
      <c r="I24" s="702">
        <f t="shared" si="3"/>
        <v>0.4509803921568627</v>
      </c>
      <c r="J24" s="690"/>
      <c r="M24" s="731">
        <f t="shared" si="4"/>
        <v>540600</v>
      </c>
      <c r="N24" s="731">
        <f t="shared" si="1"/>
        <v>529380</v>
      </c>
    </row>
    <row r="25" spans="2:16">
      <c r="B25" s="708" t="s">
        <v>118</v>
      </c>
      <c r="C25" s="716">
        <v>5100000</v>
      </c>
      <c r="D25" s="716">
        <f t="shared" si="5"/>
        <v>61200000</v>
      </c>
      <c r="E25" s="706">
        <v>68259126</v>
      </c>
      <c r="F25" s="728">
        <f t="shared" si="6"/>
        <v>67200000</v>
      </c>
      <c r="G25" s="716">
        <v>5600000</v>
      </c>
      <c r="H25" s="702">
        <f t="shared" si="2"/>
        <v>-1.5516254925385331E-2</v>
      </c>
      <c r="I25" s="702">
        <f t="shared" si="3"/>
        <v>9.8039215686274606E-2</v>
      </c>
      <c r="J25" s="690" t="s">
        <v>946</v>
      </c>
      <c r="M25" s="731">
        <f t="shared" si="4"/>
        <v>5406000</v>
      </c>
      <c r="N25" s="731">
        <f t="shared" si="1"/>
        <v>5293800</v>
      </c>
    </row>
    <row r="26" spans="2:16">
      <c r="B26" s="708" t="s">
        <v>119</v>
      </c>
      <c r="C26" s="706">
        <v>185000</v>
      </c>
      <c r="D26" s="706">
        <f t="shared" si="5"/>
        <v>2220000</v>
      </c>
      <c r="E26" s="706">
        <v>2436182.56</v>
      </c>
      <c r="F26" s="707">
        <f t="shared" si="6"/>
        <v>2616000</v>
      </c>
      <c r="G26" s="706">
        <v>218000</v>
      </c>
      <c r="H26" s="702">
        <f t="shared" si="2"/>
        <v>7.3811151492686244E-2</v>
      </c>
      <c r="I26" s="702">
        <f t="shared" si="3"/>
        <v>0.17837837837837833</v>
      </c>
      <c r="J26" s="690" t="s">
        <v>945</v>
      </c>
      <c r="M26" s="731">
        <f t="shared" si="4"/>
        <v>196100</v>
      </c>
      <c r="N26" s="731">
        <f t="shared" si="1"/>
        <v>192030</v>
      </c>
      <c r="O26" s="740"/>
      <c r="P26" s="740"/>
    </row>
    <row r="27" spans="2:16">
      <c r="B27" s="708" t="s">
        <v>120</v>
      </c>
      <c r="C27" s="706">
        <v>4000</v>
      </c>
      <c r="D27" s="706">
        <f t="shared" si="5"/>
        <v>48000</v>
      </c>
      <c r="E27" s="706">
        <v>14210</v>
      </c>
      <c r="F27" s="707">
        <f t="shared" si="6"/>
        <v>120000</v>
      </c>
      <c r="G27" s="706">
        <v>10000</v>
      </c>
      <c r="H27" s="702">
        <f t="shared" si="2"/>
        <v>7.444757213230119</v>
      </c>
      <c r="I27" s="702">
        <f t="shared" si="3"/>
        <v>1.5</v>
      </c>
      <c r="J27" s="690" t="s">
        <v>944</v>
      </c>
      <c r="M27" s="731">
        <f t="shared" si="4"/>
        <v>4240</v>
      </c>
      <c r="N27" s="731">
        <f t="shared" si="1"/>
        <v>4152</v>
      </c>
    </row>
    <row r="28" spans="2:16" ht="25.5" customHeight="1">
      <c r="B28" s="739" t="s">
        <v>121</v>
      </c>
      <c r="C28" s="738">
        <f>SUM(C19:C27)</f>
        <v>55414000</v>
      </c>
      <c r="D28" s="738">
        <f>SUM(D19:D27)</f>
        <v>664968000</v>
      </c>
      <c r="E28" s="738">
        <f>SUM(E19:E27)</f>
        <v>672085831.55999994</v>
      </c>
      <c r="F28" s="700">
        <f>SUM(F19:F27)</f>
        <v>700704000</v>
      </c>
      <c r="G28" s="738">
        <f>SUM(G19:G27)</f>
        <v>58392000</v>
      </c>
      <c r="H28" s="737">
        <f t="shared" si="2"/>
        <v>4.2581121482018869E-2</v>
      </c>
      <c r="I28" s="736">
        <f t="shared" si="3"/>
        <v>5.3740931894467048E-2</v>
      </c>
      <c r="J28" s="690"/>
      <c r="M28" s="731">
        <f t="shared" si="4"/>
        <v>58738840</v>
      </c>
      <c r="N28" s="731">
        <f t="shared" si="1"/>
        <v>57519732</v>
      </c>
      <c r="O28" s="307"/>
      <c r="P28" s="688"/>
    </row>
    <row r="29" spans="2:16">
      <c r="B29" s="708" t="s">
        <v>122</v>
      </c>
      <c r="C29" s="706">
        <v>350000</v>
      </c>
      <c r="D29" s="706">
        <f t="shared" ref="D29:D48" si="7">+C29*12</f>
        <v>4200000</v>
      </c>
      <c r="E29" s="706">
        <v>8374000</v>
      </c>
      <c r="F29" s="707">
        <f t="shared" ref="F29:F53" si="8">+G29*12</f>
        <v>1200000</v>
      </c>
      <c r="G29" s="706">
        <v>100000</v>
      </c>
      <c r="H29" s="702">
        <f t="shared" si="2"/>
        <v>-0.85669930737998568</v>
      </c>
      <c r="I29" s="702">
        <f t="shared" si="3"/>
        <v>-0.7142857142857143</v>
      </c>
      <c r="J29" s="690"/>
      <c r="M29" s="731">
        <f t="shared" si="4"/>
        <v>371000</v>
      </c>
      <c r="N29" s="731">
        <f t="shared" si="1"/>
        <v>363300</v>
      </c>
    </row>
    <row r="30" spans="2:16">
      <c r="B30" s="708" t="s">
        <v>181</v>
      </c>
      <c r="C30" s="706">
        <v>850000</v>
      </c>
      <c r="D30" s="706">
        <f t="shared" si="7"/>
        <v>10200000</v>
      </c>
      <c r="E30" s="706">
        <v>10172680</v>
      </c>
      <c r="F30" s="707">
        <f t="shared" si="8"/>
        <v>2640000</v>
      </c>
      <c r="G30" s="706">
        <v>220000</v>
      </c>
      <c r="H30" s="702">
        <f t="shared" si="2"/>
        <v>-0.74048136774183404</v>
      </c>
      <c r="I30" s="702">
        <f t="shared" si="3"/>
        <v>-0.74117647058823533</v>
      </c>
      <c r="J30" s="690" t="s">
        <v>943</v>
      </c>
      <c r="M30" s="731">
        <f t="shared" si="4"/>
        <v>901000</v>
      </c>
      <c r="N30" s="731">
        <f t="shared" si="1"/>
        <v>882300</v>
      </c>
    </row>
    <row r="31" spans="2:16">
      <c r="B31" s="708" t="s">
        <v>150</v>
      </c>
      <c r="C31" s="706">
        <v>200000</v>
      </c>
      <c r="D31" s="706">
        <f t="shared" si="7"/>
        <v>2400000</v>
      </c>
      <c r="E31" s="706">
        <v>1552000</v>
      </c>
      <c r="F31" s="707">
        <f t="shared" si="8"/>
        <v>3000000</v>
      </c>
      <c r="G31" s="706">
        <v>250000</v>
      </c>
      <c r="H31" s="702">
        <f t="shared" si="2"/>
        <v>0.9329896907216495</v>
      </c>
      <c r="I31" s="702">
        <f t="shared" si="3"/>
        <v>0.25</v>
      </c>
      <c r="J31" s="690" t="s">
        <v>942</v>
      </c>
      <c r="M31" s="731">
        <f t="shared" si="4"/>
        <v>212000</v>
      </c>
      <c r="N31" s="731">
        <f t="shared" si="1"/>
        <v>207600</v>
      </c>
    </row>
    <row r="32" spans="2:16">
      <c r="B32" s="708" t="s">
        <v>452</v>
      </c>
      <c r="C32" s="706">
        <v>700000</v>
      </c>
      <c r="D32" s="706">
        <f t="shared" si="7"/>
        <v>8400000</v>
      </c>
      <c r="E32" s="706">
        <v>6555948</v>
      </c>
      <c r="F32" s="707">
        <f t="shared" si="8"/>
        <v>3360000</v>
      </c>
      <c r="G32" s="706">
        <v>280000</v>
      </c>
      <c r="H32" s="702">
        <f t="shared" si="2"/>
        <v>-0.48748830832703371</v>
      </c>
      <c r="I32" s="702">
        <f t="shared" si="3"/>
        <v>-0.6</v>
      </c>
      <c r="J32" s="690" t="s">
        <v>941</v>
      </c>
      <c r="M32" s="731">
        <f t="shared" si="4"/>
        <v>742000</v>
      </c>
      <c r="N32" s="731">
        <f t="shared" si="1"/>
        <v>726600</v>
      </c>
    </row>
    <row r="33" spans="2:15" s="307" customFormat="1">
      <c r="B33" s="708" t="s">
        <v>123</v>
      </c>
      <c r="C33" s="706">
        <v>1200000</v>
      </c>
      <c r="D33" s="706">
        <f t="shared" si="7"/>
        <v>14400000</v>
      </c>
      <c r="E33" s="706">
        <v>14400000</v>
      </c>
      <c r="F33" s="707">
        <f t="shared" si="8"/>
        <v>4200000</v>
      </c>
      <c r="G33" s="706">
        <v>350000</v>
      </c>
      <c r="H33" s="702">
        <f t="shared" si="2"/>
        <v>-0.70833333333333326</v>
      </c>
      <c r="I33" s="702">
        <f t="shared" si="3"/>
        <v>-0.70833333333333326</v>
      </c>
      <c r="J33" s="690" t="s">
        <v>940</v>
      </c>
      <c r="M33" s="689">
        <f t="shared" si="4"/>
        <v>1272000</v>
      </c>
      <c r="N33" s="689">
        <f t="shared" si="1"/>
        <v>1245600</v>
      </c>
    </row>
    <row r="34" spans="2:15">
      <c r="B34" s="708" t="s">
        <v>124</v>
      </c>
      <c r="C34" s="706">
        <v>300000</v>
      </c>
      <c r="D34" s="706">
        <f t="shared" si="7"/>
        <v>3600000</v>
      </c>
      <c r="E34" s="706">
        <v>3600000</v>
      </c>
      <c r="F34" s="707">
        <f t="shared" si="8"/>
        <v>1200000</v>
      </c>
      <c r="G34" s="706">
        <v>100000</v>
      </c>
      <c r="H34" s="702">
        <f t="shared" si="2"/>
        <v>-0.66666666666666674</v>
      </c>
      <c r="I34" s="702">
        <f t="shared" si="3"/>
        <v>-0.66666666666666674</v>
      </c>
      <c r="J34" s="690" t="s">
        <v>939</v>
      </c>
      <c r="M34" s="731">
        <f t="shared" si="4"/>
        <v>318000</v>
      </c>
      <c r="N34" s="731">
        <f t="shared" si="1"/>
        <v>311400</v>
      </c>
    </row>
    <row r="35" spans="2:15">
      <c r="B35" s="708" t="s">
        <v>125</v>
      </c>
      <c r="C35" s="706">
        <v>70000</v>
      </c>
      <c r="D35" s="706">
        <f t="shared" si="7"/>
        <v>840000</v>
      </c>
      <c r="E35" s="706">
        <v>1410000</v>
      </c>
      <c r="F35" s="707">
        <f t="shared" si="8"/>
        <v>300000</v>
      </c>
      <c r="G35" s="706">
        <v>25000</v>
      </c>
      <c r="H35" s="702">
        <f t="shared" si="2"/>
        <v>-0.78723404255319152</v>
      </c>
      <c r="I35" s="702">
        <f t="shared" si="3"/>
        <v>-0.64285714285714279</v>
      </c>
      <c r="J35" s="690" t="s">
        <v>918</v>
      </c>
      <c r="M35" s="731">
        <f t="shared" si="4"/>
        <v>74200</v>
      </c>
      <c r="N35" s="731">
        <f t="shared" si="1"/>
        <v>72660</v>
      </c>
    </row>
    <row r="36" spans="2:15">
      <c r="B36" s="708" t="s">
        <v>46</v>
      </c>
      <c r="C36" s="706">
        <v>2840000</v>
      </c>
      <c r="D36" s="706">
        <f t="shared" si="7"/>
        <v>34080000</v>
      </c>
      <c r="E36" s="706">
        <v>34080000</v>
      </c>
      <c r="F36" s="707">
        <f t="shared" si="8"/>
        <v>30600000</v>
      </c>
      <c r="G36" s="706">
        <v>2550000</v>
      </c>
      <c r="H36" s="702">
        <f t="shared" si="2"/>
        <v>-0.102112676056338</v>
      </c>
      <c r="I36" s="702">
        <f t="shared" si="3"/>
        <v>-0.102112676056338</v>
      </c>
      <c r="J36" s="690" t="s">
        <v>938</v>
      </c>
      <c r="M36" s="731">
        <f t="shared" si="4"/>
        <v>3010400</v>
      </c>
      <c r="N36" s="731">
        <f t="shared" si="1"/>
        <v>2947920</v>
      </c>
      <c r="O36" s="735"/>
    </row>
    <row r="37" spans="2:15">
      <c r="B37" s="708" t="s">
        <v>126</v>
      </c>
      <c r="C37" s="706">
        <v>780000</v>
      </c>
      <c r="D37" s="706">
        <f t="shared" si="7"/>
        <v>9360000</v>
      </c>
      <c r="E37" s="706">
        <v>9360000</v>
      </c>
      <c r="F37" s="707">
        <f t="shared" si="8"/>
        <v>3000000</v>
      </c>
      <c r="G37" s="706">
        <v>250000</v>
      </c>
      <c r="H37" s="702">
        <f t="shared" si="2"/>
        <v>-0.67948717948717952</v>
      </c>
      <c r="I37" s="702">
        <f t="shared" si="3"/>
        <v>-0.67948717948717952</v>
      </c>
      <c r="J37" s="690" t="s">
        <v>937</v>
      </c>
      <c r="M37" s="731">
        <f t="shared" si="4"/>
        <v>826800</v>
      </c>
      <c r="N37" s="731">
        <f t="shared" si="1"/>
        <v>809640</v>
      </c>
    </row>
    <row r="38" spans="2:15">
      <c r="B38" s="708" t="s">
        <v>736</v>
      </c>
      <c r="C38" s="706">
        <v>280000</v>
      </c>
      <c r="D38" s="706">
        <f t="shared" si="7"/>
        <v>3360000</v>
      </c>
      <c r="E38" s="706">
        <v>2784600</v>
      </c>
      <c r="F38" s="707">
        <f t="shared" si="8"/>
        <v>2844000</v>
      </c>
      <c r="G38" s="706">
        <v>237000</v>
      </c>
      <c r="H38" s="702">
        <f t="shared" si="2"/>
        <v>2.1331609566903609E-2</v>
      </c>
      <c r="I38" s="702">
        <f t="shared" si="3"/>
        <v>-0.15357142857142858</v>
      </c>
      <c r="J38" s="690" t="s">
        <v>936</v>
      </c>
      <c r="M38" s="731">
        <f t="shared" si="4"/>
        <v>296800</v>
      </c>
      <c r="N38" s="731">
        <f t="shared" si="1"/>
        <v>290640</v>
      </c>
      <c r="O38" s="734"/>
    </row>
    <row r="39" spans="2:15">
      <c r="B39" s="712" t="s">
        <v>182</v>
      </c>
      <c r="C39" s="710">
        <v>700000</v>
      </c>
      <c r="D39" s="710">
        <f t="shared" si="7"/>
        <v>8400000</v>
      </c>
      <c r="E39" s="706">
        <v>6712993</v>
      </c>
      <c r="F39" s="711">
        <f t="shared" si="8"/>
        <v>3720000</v>
      </c>
      <c r="G39" s="710">
        <v>310000</v>
      </c>
      <c r="H39" s="698">
        <f t="shared" si="2"/>
        <v>-0.44585075539330965</v>
      </c>
      <c r="I39" s="702">
        <f t="shared" si="3"/>
        <v>-0.55714285714285716</v>
      </c>
      <c r="J39" s="733" t="s">
        <v>935</v>
      </c>
      <c r="M39" s="731">
        <f t="shared" si="4"/>
        <v>742000</v>
      </c>
      <c r="N39" s="731">
        <f t="shared" si="1"/>
        <v>726600</v>
      </c>
    </row>
    <row r="40" spans="2:15">
      <c r="B40" s="708" t="s">
        <v>45</v>
      </c>
      <c r="C40" s="706">
        <v>234000</v>
      </c>
      <c r="D40" s="706">
        <f t="shared" si="7"/>
        <v>2808000</v>
      </c>
      <c r="E40" s="706">
        <v>3739850</v>
      </c>
      <c r="F40" s="707">
        <f t="shared" si="8"/>
        <v>3000000</v>
      </c>
      <c r="G40" s="706">
        <v>250000</v>
      </c>
      <c r="H40" s="702">
        <f t="shared" si="2"/>
        <v>-0.19782878992472963</v>
      </c>
      <c r="I40" s="702">
        <f t="shared" si="3"/>
        <v>6.8376068376068355E-2</v>
      </c>
      <c r="J40" s="733" t="s">
        <v>934</v>
      </c>
      <c r="L40" s="300">
        <v>1100000</v>
      </c>
      <c r="M40" s="731">
        <f t="shared" si="4"/>
        <v>248040</v>
      </c>
      <c r="N40" s="731">
        <f t="shared" si="1"/>
        <v>242892</v>
      </c>
    </row>
    <row r="41" spans="2:15">
      <c r="B41" s="708" t="s">
        <v>933</v>
      </c>
      <c r="C41" s="706">
        <v>180000</v>
      </c>
      <c r="D41" s="706">
        <f t="shared" si="7"/>
        <v>2160000</v>
      </c>
      <c r="E41" s="706">
        <v>2611500</v>
      </c>
      <c r="F41" s="707">
        <f t="shared" si="8"/>
        <v>2700000</v>
      </c>
      <c r="G41" s="706">
        <v>225000</v>
      </c>
      <c r="H41" s="702">
        <f t="shared" si="2"/>
        <v>3.3888569787478451E-2</v>
      </c>
      <c r="I41" s="702">
        <f t="shared" si="3"/>
        <v>0.25</v>
      </c>
      <c r="J41" s="690"/>
      <c r="L41" s="300">
        <f>+L40+1220000+650000</f>
        <v>2970000</v>
      </c>
      <c r="M41" s="731">
        <f>+E41+M3</f>
        <v>2611501.06</v>
      </c>
      <c r="N41" s="731">
        <f t="shared" si="1"/>
        <v>186840</v>
      </c>
    </row>
    <row r="42" spans="2:15">
      <c r="B42" s="708" t="s">
        <v>183</v>
      </c>
      <c r="C42" s="706">
        <v>180000</v>
      </c>
      <c r="D42" s="706">
        <f t="shared" si="7"/>
        <v>2160000</v>
      </c>
      <c r="E42" s="706">
        <v>2450000</v>
      </c>
      <c r="F42" s="707">
        <f t="shared" si="8"/>
        <v>1500000</v>
      </c>
      <c r="G42" s="706">
        <v>125000</v>
      </c>
      <c r="H42" s="702">
        <f t="shared" si="2"/>
        <v>-0.38775510204081631</v>
      </c>
      <c r="I42" s="702">
        <f t="shared" si="3"/>
        <v>-0.30555555555555558</v>
      </c>
      <c r="J42" s="690"/>
      <c r="M42" s="731">
        <f t="shared" ref="M42:M48" si="9">+C42*$M$3</f>
        <v>190800</v>
      </c>
      <c r="N42" s="731">
        <f t="shared" si="1"/>
        <v>186840</v>
      </c>
    </row>
    <row r="43" spans="2:15">
      <c r="B43" s="708" t="s">
        <v>738</v>
      </c>
      <c r="C43" s="706">
        <v>100000</v>
      </c>
      <c r="D43" s="706">
        <f t="shared" si="7"/>
        <v>1200000</v>
      </c>
      <c r="E43" s="706">
        <v>808000</v>
      </c>
      <c r="F43" s="707">
        <f t="shared" si="8"/>
        <v>852000</v>
      </c>
      <c r="G43" s="706">
        <v>71000</v>
      </c>
      <c r="H43" s="702">
        <f t="shared" si="2"/>
        <v>5.4455445544554504E-2</v>
      </c>
      <c r="I43" s="702">
        <f t="shared" si="3"/>
        <v>-0.29000000000000004</v>
      </c>
      <c r="J43" s="690" t="s">
        <v>932</v>
      </c>
      <c r="M43" s="731">
        <f t="shared" si="9"/>
        <v>106000</v>
      </c>
      <c r="N43" s="731">
        <f t="shared" si="1"/>
        <v>103800</v>
      </c>
    </row>
    <row r="44" spans="2:15" ht="30">
      <c r="B44" s="727" t="s">
        <v>931</v>
      </c>
      <c r="C44" s="710">
        <v>1200000</v>
      </c>
      <c r="D44" s="710">
        <f t="shared" si="7"/>
        <v>14400000</v>
      </c>
      <c r="E44" s="706">
        <v>21877100</v>
      </c>
      <c r="F44" s="707">
        <f t="shared" si="8"/>
        <v>5000004</v>
      </c>
      <c r="G44" s="710">
        <v>416667</v>
      </c>
      <c r="H44" s="698">
        <f t="shared" si="2"/>
        <v>-0.77145032933981195</v>
      </c>
      <c r="I44" s="702">
        <f t="shared" si="3"/>
        <v>-0.65277750000000001</v>
      </c>
      <c r="J44" s="732" t="s">
        <v>930</v>
      </c>
      <c r="M44" s="731">
        <f t="shared" si="9"/>
        <v>1272000</v>
      </c>
      <c r="N44" s="731">
        <f t="shared" si="1"/>
        <v>1245600</v>
      </c>
    </row>
    <row r="45" spans="2:15">
      <c r="B45" s="708" t="s">
        <v>127</v>
      </c>
      <c r="C45" s="706">
        <v>150000</v>
      </c>
      <c r="D45" s="706">
        <f t="shared" si="7"/>
        <v>1800000</v>
      </c>
      <c r="E45" s="706">
        <v>1939000</v>
      </c>
      <c r="F45" s="707">
        <f t="shared" si="8"/>
        <v>2016000</v>
      </c>
      <c r="G45" s="706">
        <v>168000</v>
      </c>
      <c r="H45" s="702">
        <f t="shared" si="2"/>
        <v>3.971119133573997E-2</v>
      </c>
      <c r="I45" s="702">
        <f t="shared" si="3"/>
        <v>0.12000000000000011</v>
      </c>
      <c r="J45" s="690" t="s">
        <v>918</v>
      </c>
      <c r="M45" s="731">
        <f t="shared" si="9"/>
        <v>159000</v>
      </c>
      <c r="N45" s="731">
        <f t="shared" si="1"/>
        <v>155700</v>
      </c>
    </row>
    <row r="46" spans="2:15">
      <c r="B46" s="708" t="s">
        <v>128</v>
      </c>
      <c r="C46" s="706">
        <v>100000</v>
      </c>
      <c r="D46" s="706">
        <f t="shared" si="7"/>
        <v>1200000</v>
      </c>
      <c r="E46" s="706">
        <v>755700</v>
      </c>
      <c r="F46" s="707">
        <f t="shared" si="8"/>
        <v>804000</v>
      </c>
      <c r="G46" s="706">
        <v>67000</v>
      </c>
      <c r="H46" s="702">
        <f t="shared" si="2"/>
        <v>6.3914251687177348E-2</v>
      </c>
      <c r="I46" s="702">
        <f t="shared" si="3"/>
        <v>-0.32999999999999996</v>
      </c>
      <c r="J46" s="690" t="s">
        <v>918</v>
      </c>
      <c r="M46" s="731">
        <f t="shared" si="9"/>
        <v>106000</v>
      </c>
      <c r="N46" s="731">
        <f t="shared" si="1"/>
        <v>103800</v>
      </c>
    </row>
    <row r="47" spans="2:15">
      <c r="B47" s="708" t="s">
        <v>929</v>
      </c>
      <c r="C47" s="706">
        <v>650000</v>
      </c>
      <c r="D47" s="706">
        <f t="shared" si="7"/>
        <v>7800000</v>
      </c>
      <c r="E47" s="706">
        <v>7918610</v>
      </c>
      <c r="F47" s="707">
        <f t="shared" si="8"/>
        <v>0</v>
      </c>
      <c r="G47" s="706"/>
      <c r="H47" s="702">
        <f t="shared" si="2"/>
        <v>-1</v>
      </c>
      <c r="I47" s="702">
        <f t="shared" si="3"/>
        <v>-1</v>
      </c>
      <c r="J47" s="690"/>
      <c r="M47" s="731">
        <f t="shared" si="9"/>
        <v>689000</v>
      </c>
      <c r="N47" s="731">
        <f t="shared" si="1"/>
        <v>674700</v>
      </c>
    </row>
    <row r="48" spans="2:15">
      <c r="B48" s="708" t="s">
        <v>129</v>
      </c>
      <c r="C48" s="706">
        <v>350000</v>
      </c>
      <c r="D48" s="706">
        <f t="shared" si="7"/>
        <v>4200000</v>
      </c>
      <c r="E48" s="706">
        <v>4200000</v>
      </c>
      <c r="F48" s="707">
        <f t="shared" si="8"/>
        <v>2400000</v>
      </c>
      <c r="G48" s="706">
        <v>200000</v>
      </c>
      <c r="H48" s="702">
        <f t="shared" si="2"/>
        <v>-0.4285714285714286</v>
      </c>
      <c r="I48" s="702">
        <f t="shared" si="3"/>
        <v>-0.4285714285714286</v>
      </c>
      <c r="J48" s="690" t="s">
        <v>928</v>
      </c>
      <c r="M48" s="731">
        <f t="shared" si="9"/>
        <v>371000</v>
      </c>
      <c r="N48" s="731">
        <f t="shared" si="1"/>
        <v>363300</v>
      </c>
    </row>
    <row r="49" spans="2:15">
      <c r="B49" s="708" t="s">
        <v>927</v>
      </c>
      <c r="C49" s="706"/>
      <c r="D49" s="706"/>
      <c r="E49" s="706">
        <v>0</v>
      </c>
      <c r="F49" s="707">
        <f t="shared" si="8"/>
        <v>4080000</v>
      </c>
      <c r="G49" s="706">
        <v>340000</v>
      </c>
      <c r="H49" s="702"/>
      <c r="I49" s="702"/>
      <c r="J49" s="690" t="s">
        <v>926</v>
      </c>
      <c r="M49" s="731"/>
      <c r="N49" s="731"/>
    </row>
    <row r="50" spans="2:15">
      <c r="B50" s="708" t="s">
        <v>925</v>
      </c>
      <c r="C50" s="706"/>
      <c r="D50" s="706"/>
      <c r="E50" s="706">
        <v>6987985</v>
      </c>
      <c r="F50" s="707">
        <f t="shared" si="8"/>
        <v>0</v>
      </c>
      <c r="G50" s="706"/>
      <c r="H50" s="702"/>
      <c r="I50" s="702"/>
      <c r="J50" s="690"/>
      <c r="M50" s="731"/>
      <c r="N50" s="731"/>
    </row>
    <row r="51" spans="2:15">
      <c r="B51" s="708" t="s">
        <v>924</v>
      </c>
      <c r="C51" s="706">
        <v>200000</v>
      </c>
      <c r="D51" s="706">
        <f>+C51*12</f>
        <v>2400000</v>
      </c>
      <c r="E51" s="706">
        <v>190000</v>
      </c>
      <c r="F51" s="707">
        <f t="shared" si="8"/>
        <v>1008000</v>
      </c>
      <c r="G51" s="706">
        <v>84000</v>
      </c>
      <c r="H51" s="702">
        <f>+F51/E51-1</f>
        <v>4.3052631578947365</v>
      </c>
      <c r="I51" s="702">
        <f>+F51/D51-1</f>
        <v>-0.58000000000000007</v>
      </c>
      <c r="J51" s="690" t="s">
        <v>923</v>
      </c>
      <c r="M51" s="731">
        <f>+C51*$M$3</f>
        <v>212000</v>
      </c>
      <c r="N51" s="731">
        <f>+C51*$N$3</f>
        <v>207600</v>
      </c>
    </row>
    <row r="52" spans="2:15" ht="30">
      <c r="B52" s="712" t="s">
        <v>922</v>
      </c>
      <c r="C52" s="710">
        <v>1100000</v>
      </c>
      <c r="D52" s="710">
        <f>+C52*12</f>
        <v>13200000</v>
      </c>
      <c r="E52" s="706">
        <v>5206270</v>
      </c>
      <c r="F52" s="711">
        <f t="shared" si="8"/>
        <v>5520000</v>
      </c>
      <c r="G52" s="710">
        <v>460000</v>
      </c>
      <c r="H52" s="698">
        <f>+F52/E52-1</f>
        <v>6.026003261452062E-2</v>
      </c>
      <c r="I52" s="702">
        <f>+F52/D52-1</f>
        <v>-0.58181818181818179</v>
      </c>
      <c r="J52" s="697" t="s">
        <v>921</v>
      </c>
      <c r="M52" s="731">
        <f>+C52*$M$3</f>
        <v>1166000</v>
      </c>
      <c r="N52" s="731">
        <f>+C52*$N$3</f>
        <v>1141800</v>
      </c>
    </row>
    <row r="53" spans="2:15" s="307" customFormat="1" ht="25.5">
      <c r="B53" s="712" t="s">
        <v>132</v>
      </c>
      <c r="C53" s="710">
        <v>850000</v>
      </c>
      <c r="D53" s="710">
        <f>+C53*12</f>
        <v>10200000</v>
      </c>
      <c r="E53" s="706">
        <v>19979418</v>
      </c>
      <c r="F53" s="711">
        <f t="shared" si="8"/>
        <v>4800000</v>
      </c>
      <c r="G53" s="710">
        <v>400000</v>
      </c>
      <c r="H53" s="698">
        <f>+F53/E53-1</f>
        <v>-0.7597527615669285</v>
      </c>
      <c r="I53" s="702">
        <f>+F53/D53-1</f>
        <v>-0.52941176470588236</v>
      </c>
      <c r="J53" s="730" t="s">
        <v>920</v>
      </c>
      <c r="M53" s="689">
        <f>+C53*$M$3</f>
        <v>901000</v>
      </c>
      <c r="N53" s="689">
        <f>+C53*$N$3</f>
        <v>882300</v>
      </c>
    </row>
    <row r="54" spans="2:15" s="307" customFormat="1">
      <c r="B54" s="708" t="s">
        <v>133</v>
      </c>
      <c r="C54" s="706">
        <v>1900000</v>
      </c>
      <c r="D54" s="706">
        <f>+C54*12</f>
        <v>22800000</v>
      </c>
      <c r="E54" s="706">
        <v>22693513</v>
      </c>
      <c r="F54" s="707">
        <f>14000000+1478400-12000</f>
        <v>15466400</v>
      </c>
      <c r="G54" s="706">
        <f>F54/12</f>
        <v>1288866.6666666667</v>
      </c>
      <c r="H54" s="702">
        <f>+F54/E54-1</f>
        <v>-0.31846603035854348</v>
      </c>
      <c r="I54" s="702">
        <f>+F54/D54-1</f>
        <v>-0.32164912280701752</v>
      </c>
      <c r="J54" s="690" t="s">
        <v>919</v>
      </c>
      <c r="M54" s="689">
        <f>+C54*$M$3</f>
        <v>2014000</v>
      </c>
      <c r="N54" s="689">
        <f>+C54*$N$3</f>
        <v>1972200</v>
      </c>
    </row>
    <row r="55" spans="2:15" s="307" customFormat="1" ht="15.75">
      <c r="B55" s="729" t="s">
        <v>745</v>
      </c>
      <c r="C55" s="706"/>
      <c r="D55" s="706"/>
      <c r="E55" s="706"/>
      <c r="F55" s="707"/>
      <c r="G55" s="706"/>
      <c r="H55" s="702"/>
      <c r="I55" s="702"/>
      <c r="J55" s="690"/>
      <c r="M55" s="689"/>
      <c r="N55" s="689"/>
    </row>
    <row r="56" spans="2:15" s="307" customFormat="1">
      <c r="B56" s="718" t="s">
        <v>751</v>
      </c>
      <c r="C56" s="716"/>
      <c r="D56" s="716"/>
      <c r="E56" s="706"/>
      <c r="F56" s="728">
        <f>964000*2</f>
        <v>1928000</v>
      </c>
      <c r="G56" s="716">
        <f t="shared" ref="G56:G69" si="10">F56/12</f>
        <v>160666.66666666666</v>
      </c>
      <c r="H56" s="726">
        <v>1</v>
      </c>
      <c r="I56" s="715"/>
      <c r="J56" s="714" t="s">
        <v>918</v>
      </c>
      <c r="M56" s="689"/>
      <c r="N56" s="689"/>
    </row>
    <row r="57" spans="2:15" s="307" customFormat="1">
      <c r="B57" s="718" t="s">
        <v>752</v>
      </c>
      <c r="C57" s="716"/>
      <c r="D57" s="716"/>
      <c r="E57" s="706"/>
      <c r="F57" s="728">
        <v>2500000</v>
      </c>
      <c r="G57" s="716">
        <f t="shared" si="10"/>
        <v>208333.33333333334</v>
      </c>
      <c r="H57" s="726">
        <v>1</v>
      </c>
      <c r="I57" s="715"/>
      <c r="J57" s="714" t="s">
        <v>918</v>
      </c>
      <c r="M57" s="689"/>
      <c r="N57" s="689"/>
    </row>
    <row r="58" spans="2:15" s="307" customFormat="1">
      <c r="B58" s="718" t="s">
        <v>753</v>
      </c>
      <c r="C58" s="716"/>
      <c r="D58" s="716"/>
      <c r="E58" s="706"/>
      <c r="F58" s="728">
        <v>1600000</v>
      </c>
      <c r="G58" s="716">
        <f t="shared" si="10"/>
        <v>133333.33333333334</v>
      </c>
      <c r="H58" s="726">
        <v>1</v>
      </c>
      <c r="I58" s="715"/>
      <c r="J58" s="714" t="s">
        <v>918</v>
      </c>
      <c r="M58" s="689"/>
      <c r="N58" s="689"/>
    </row>
    <row r="59" spans="2:15" s="307" customFormat="1">
      <c r="B59" s="718" t="s">
        <v>749</v>
      </c>
      <c r="C59" s="716"/>
      <c r="D59" s="716"/>
      <c r="E59" s="706"/>
      <c r="F59" s="728">
        <v>1735000</v>
      </c>
      <c r="G59" s="716">
        <f t="shared" si="10"/>
        <v>144583.33333333334</v>
      </c>
      <c r="H59" s="726">
        <v>1</v>
      </c>
      <c r="I59" s="715"/>
      <c r="J59" s="714" t="s">
        <v>918</v>
      </c>
      <c r="M59" s="689"/>
      <c r="N59" s="689"/>
    </row>
    <row r="60" spans="2:15" s="307" customFormat="1">
      <c r="B60" s="718" t="s">
        <v>756</v>
      </c>
      <c r="C60" s="716"/>
      <c r="D60" s="716"/>
      <c r="E60" s="706"/>
      <c r="F60" s="728">
        <v>1300000</v>
      </c>
      <c r="G60" s="716">
        <f t="shared" si="10"/>
        <v>108333.33333333333</v>
      </c>
      <c r="H60" s="726">
        <v>1</v>
      </c>
      <c r="I60" s="715"/>
      <c r="J60" s="714" t="s">
        <v>917</v>
      </c>
      <c r="M60" s="689"/>
      <c r="N60" s="689"/>
    </row>
    <row r="61" spans="2:15" s="307" customFormat="1">
      <c r="B61" s="727" t="s">
        <v>750</v>
      </c>
      <c r="C61" s="721"/>
      <c r="D61" s="721"/>
      <c r="E61" s="706"/>
      <c r="F61" s="717">
        <v>12000000</v>
      </c>
      <c r="G61" s="721">
        <f t="shared" si="10"/>
        <v>1000000</v>
      </c>
      <c r="H61" s="713">
        <v>1</v>
      </c>
      <c r="I61" s="723"/>
      <c r="J61" s="720" t="s">
        <v>916</v>
      </c>
      <c r="M61" s="689"/>
      <c r="N61" s="689"/>
    </row>
    <row r="62" spans="2:15" s="307" customFormat="1">
      <c r="B62" s="722" t="s">
        <v>748</v>
      </c>
      <c r="C62" s="716"/>
      <c r="D62" s="716"/>
      <c r="E62" s="706"/>
      <c r="F62" s="717">
        <v>8000000</v>
      </c>
      <c r="G62" s="716">
        <f t="shared" si="10"/>
        <v>666666.66666666663</v>
      </c>
      <c r="H62" s="726">
        <v>1</v>
      </c>
      <c r="I62" s="723"/>
      <c r="J62" s="720"/>
      <c r="K62" s="724"/>
      <c r="L62" s="724"/>
      <c r="M62" s="725"/>
      <c r="N62" s="725"/>
      <c r="O62" s="724"/>
    </row>
    <row r="63" spans="2:15" s="307" customFormat="1">
      <c r="B63" s="722" t="s">
        <v>746</v>
      </c>
      <c r="C63" s="721"/>
      <c r="D63" s="721"/>
      <c r="E63" s="706"/>
      <c r="F63" s="717">
        <v>5000000</v>
      </c>
      <c r="G63" s="721">
        <f t="shared" si="10"/>
        <v>416666.66666666669</v>
      </c>
      <c r="H63" s="713">
        <v>1</v>
      </c>
      <c r="I63" s="723"/>
      <c r="J63" s="720"/>
      <c r="K63" s="724"/>
      <c r="L63" s="724"/>
      <c r="M63" s="725"/>
      <c r="N63" s="725"/>
      <c r="O63" s="724"/>
    </row>
    <row r="64" spans="2:15" s="307" customFormat="1" ht="30">
      <c r="B64" s="722" t="s">
        <v>747</v>
      </c>
      <c r="C64" s="721"/>
      <c r="D64" s="721"/>
      <c r="E64" s="706"/>
      <c r="F64" s="717">
        <f>1900000*2+2800000</f>
        <v>6600000</v>
      </c>
      <c r="G64" s="721">
        <f t="shared" si="10"/>
        <v>550000</v>
      </c>
      <c r="H64" s="713">
        <v>1</v>
      </c>
      <c r="I64" s="723"/>
      <c r="J64" s="720" t="s">
        <v>915</v>
      </c>
      <c r="M64" s="689"/>
      <c r="N64" s="689"/>
    </row>
    <row r="65" spans="2:16" s="307" customFormat="1" ht="17.25" customHeight="1">
      <c r="B65" s="722" t="s">
        <v>914</v>
      </c>
      <c r="C65" s="721"/>
      <c r="D65" s="721"/>
      <c r="E65" s="706"/>
      <c r="F65" s="717">
        <v>5000000</v>
      </c>
      <c r="G65" s="721">
        <f t="shared" si="10"/>
        <v>416666.66666666669</v>
      </c>
      <c r="H65" s="713">
        <v>1</v>
      </c>
      <c r="I65" s="715"/>
      <c r="J65" s="714" t="s">
        <v>913</v>
      </c>
      <c r="M65" s="689"/>
      <c r="N65" s="689"/>
    </row>
    <row r="66" spans="2:16" s="307" customFormat="1">
      <c r="B66" s="722" t="s">
        <v>755</v>
      </c>
      <c r="C66" s="721"/>
      <c r="D66" s="721"/>
      <c r="E66" s="706"/>
      <c r="F66" s="717">
        <v>7000000</v>
      </c>
      <c r="G66" s="721">
        <f t="shared" si="10"/>
        <v>583333.33333333337</v>
      </c>
      <c r="H66" s="713">
        <v>1</v>
      </c>
      <c r="I66" s="715"/>
      <c r="J66" s="720"/>
      <c r="M66" s="689"/>
      <c r="N66" s="689"/>
    </row>
    <row r="67" spans="2:16" s="307" customFormat="1" ht="30">
      <c r="B67" s="722" t="s">
        <v>754</v>
      </c>
      <c r="C67" s="721"/>
      <c r="D67" s="721"/>
      <c r="E67" s="706"/>
      <c r="F67" s="717">
        <v>4000000</v>
      </c>
      <c r="G67" s="721">
        <f t="shared" si="10"/>
        <v>333333.33333333331</v>
      </c>
      <c r="H67" s="713">
        <v>1</v>
      </c>
      <c r="I67" s="715"/>
      <c r="J67" s="720"/>
      <c r="M67" s="689"/>
      <c r="N67" s="689"/>
    </row>
    <row r="68" spans="2:16" s="307" customFormat="1" ht="30">
      <c r="B68" s="719" t="s">
        <v>739</v>
      </c>
      <c r="C68" s="706"/>
      <c r="D68" s="706"/>
      <c r="E68" s="706"/>
      <c r="F68" s="711">
        <v>2500000</v>
      </c>
      <c r="G68" s="710">
        <f t="shared" si="10"/>
        <v>208333.33333333334</v>
      </c>
      <c r="H68" s="702"/>
      <c r="I68" s="715"/>
      <c r="J68" s="714" t="s">
        <v>912</v>
      </c>
      <c r="M68" s="689"/>
      <c r="N68" s="689"/>
    </row>
    <row r="69" spans="2:16" s="307" customFormat="1">
      <c r="B69" s="718" t="s">
        <v>735</v>
      </c>
      <c r="C69" s="716">
        <v>400000</v>
      </c>
      <c r="D69" s="716">
        <f>+C69*12</f>
        <v>4800000</v>
      </c>
      <c r="E69" s="706">
        <v>4801180</v>
      </c>
      <c r="F69" s="717">
        <v>20000000</v>
      </c>
      <c r="G69" s="716">
        <f t="shared" si="10"/>
        <v>1666666.6666666667</v>
      </c>
      <c r="H69" s="715">
        <f>+F69/E69-1</f>
        <v>3.1656426128576722</v>
      </c>
      <c r="I69" s="715"/>
      <c r="J69" s="714"/>
      <c r="M69" s="689"/>
      <c r="N69" s="689"/>
    </row>
    <row r="70" spans="2:16" s="307" customFormat="1" ht="15.75">
      <c r="B70" s="705" t="s">
        <v>131</v>
      </c>
      <c r="C70" s="703">
        <f>SUM(C29:C69)</f>
        <v>15864000</v>
      </c>
      <c r="D70" s="703">
        <f>SUM(D29:D69)</f>
        <v>190368000</v>
      </c>
      <c r="E70" s="703">
        <f>SUM(E29:E69)</f>
        <v>205160347</v>
      </c>
      <c r="F70" s="704">
        <f>SUM(F29:F69)</f>
        <v>184373404</v>
      </c>
      <c r="G70" s="703">
        <f>SUM(G29:G69)</f>
        <v>15364450.333333334</v>
      </c>
      <c r="H70" s="702">
        <f>+F70/E70-1</f>
        <v>-0.10132047105574449</v>
      </c>
      <c r="I70" s="702">
        <f>+F70/D70-1</f>
        <v>-3.1489515044545335E-2</v>
      </c>
      <c r="J70" s="690"/>
      <c r="M70" s="689">
        <f>+C70*$M$3</f>
        <v>16815840</v>
      </c>
      <c r="N70" s="689">
        <f>+C70*$N$3</f>
        <v>16466832</v>
      </c>
      <c r="P70" s="688"/>
    </row>
    <row r="71" spans="2:16" s="307" customFormat="1">
      <c r="B71" s="708" t="s">
        <v>134</v>
      </c>
      <c r="C71" s="706">
        <v>650000</v>
      </c>
      <c r="D71" s="706">
        <f>+C71*12</f>
        <v>7800000</v>
      </c>
      <c r="E71" s="706">
        <v>6047447</v>
      </c>
      <c r="F71" s="707">
        <v>7000000</v>
      </c>
      <c r="G71" s="706">
        <f>F71/12</f>
        <v>583333.33333333337</v>
      </c>
      <c r="H71" s="702">
        <f>+F71/E71-1</f>
        <v>0.15751324484530405</v>
      </c>
      <c r="I71" s="702">
        <f>+F71/D71-1</f>
        <v>-0.10256410256410253</v>
      </c>
      <c r="J71" s="690"/>
      <c r="M71" s="689">
        <f>+C71*$M$3</f>
        <v>689000</v>
      </c>
      <c r="N71" s="689">
        <f>+C71*$N$3</f>
        <v>674700</v>
      </c>
    </row>
    <row r="72" spans="2:16" s="307" customFormat="1">
      <c r="B72" s="708" t="s">
        <v>135</v>
      </c>
      <c r="C72" s="706">
        <v>55000</v>
      </c>
      <c r="D72" s="706">
        <f>+C72*12</f>
        <v>660000</v>
      </c>
      <c r="E72" s="706">
        <v>1322657</v>
      </c>
      <c r="F72" s="707">
        <v>1462000</v>
      </c>
      <c r="G72" s="706">
        <f>+F72/12</f>
        <v>121833.33333333333</v>
      </c>
      <c r="H72" s="702">
        <f>+F72/E72-1</f>
        <v>0.10535082035629806</v>
      </c>
      <c r="I72" s="702">
        <f>+F72/D72-1</f>
        <v>1.2151515151515153</v>
      </c>
      <c r="J72" s="690"/>
      <c r="M72" s="689">
        <f>+C72*$M$3</f>
        <v>58300</v>
      </c>
      <c r="N72" s="689">
        <f>+C72*$N$3</f>
        <v>57090</v>
      </c>
    </row>
    <row r="73" spans="2:16" s="307" customFormat="1">
      <c r="B73" s="708" t="s">
        <v>136</v>
      </c>
      <c r="C73" s="706">
        <v>125000</v>
      </c>
      <c r="D73" s="706">
        <f>+C73*12</f>
        <v>1500000</v>
      </c>
      <c r="E73" s="706">
        <v>2059262</v>
      </c>
      <c r="F73" s="707">
        <f t="shared" ref="F73:F81" si="11">+G73*12</f>
        <v>1800000</v>
      </c>
      <c r="G73" s="706">
        <v>150000</v>
      </c>
      <c r="H73" s="702">
        <f>+F73/E73-1</f>
        <v>-0.1259004439454523</v>
      </c>
      <c r="I73" s="702">
        <f>+F73/D73-1</f>
        <v>0.19999999999999996</v>
      </c>
      <c r="J73" s="690"/>
      <c r="M73" s="689">
        <f>+C73*$M$3</f>
        <v>132500</v>
      </c>
      <c r="N73" s="689">
        <f>+C73*$N$3</f>
        <v>129750</v>
      </c>
    </row>
    <row r="74" spans="2:16" s="307" customFormat="1">
      <c r="B74" s="708" t="s">
        <v>911</v>
      </c>
      <c r="C74" s="706"/>
      <c r="D74" s="706"/>
      <c r="E74" s="706"/>
      <c r="F74" s="707">
        <f t="shared" si="11"/>
        <v>1008000</v>
      </c>
      <c r="G74" s="706">
        <v>84000</v>
      </c>
      <c r="H74" s="713">
        <v>1</v>
      </c>
      <c r="I74" s="702"/>
      <c r="J74" s="690"/>
      <c r="M74" s="689"/>
      <c r="N74" s="689"/>
    </row>
    <row r="75" spans="2:16" s="307" customFormat="1">
      <c r="B75" s="708" t="s">
        <v>156</v>
      </c>
      <c r="C75" s="706">
        <v>34000</v>
      </c>
      <c r="D75" s="706">
        <f t="shared" ref="D75:D80" si="12">+C75*12</f>
        <v>408000</v>
      </c>
      <c r="E75" s="706">
        <v>880900</v>
      </c>
      <c r="F75" s="707">
        <f t="shared" si="11"/>
        <v>924000</v>
      </c>
      <c r="G75" s="706">
        <v>77000</v>
      </c>
      <c r="H75" s="702">
        <f t="shared" ref="H75:H81" si="13">+F75/E75-1</f>
        <v>4.8927233511181667E-2</v>
      </c>
      <c r="I75" s="702">
        <f t="shared" ref="I75:I81" si="14">+F75/D75-1</f>
        <v>1.2647058823529411</v>
      </c>
      <c r="J75" s="690"/>
      <c r="M75" s="689">
        <f t="shared" ref="M75:M81" si="15">+C75*$M$3</f>
        <v>36040</v>
      </c>
      <c r="N75" s="689">
        <f t="shared" ref="N75:N81" si="16">+C75*$N$3</f>
        <v>35292</v>
      </c>
    </row>
    <row r="76" spans="2:16" s="307" customFormat="1">
      <c r="B76" s="708" t="s">
        <v>137</v>
      </c>
      <c r="C76" s="706">
        <v>420000</v>
      </c>
      <c r="D76" s="706">
        <f t="shared" si="12"/>
        <v>5040000</v>
      </c>
      <c r="E76" s="706">
        <v>4912159</v>
      </c>
      <c r="F76" s="707">
        <f t="shared" si="11"/>
        <v>5340000</v>
      </c>
      <c r="G76" s="706">
        <v>445000</v>
      </c>
      <c r="H76" s="702">
        <f t="shared" si="13"/>
        <v>8.709836143333316E-2</v>
      </c>
      <c r="I76" s="702">
        <f t="shared" si="14"/>
        <v>5.9523809523809534E-2</v>
      </c>
      <c r="J76" s="690" t="s">
        <v>910</v>
      </c>
      <c r="M76" s="689">
        <f t="shared" si="15"/>
        <v>445200</v>
      </c>
      <c r="N76" s="689">
        <f t="shared" si="16"/>
        <v>435960</v>
      </c>
    </row>
    <row r="77" spans="2:16" s="307" customFormat="1">
      <c r="B77" s="708" t="s">
        <v>138</v>
      </c>
      <c r="C77" s="706">
        <v>425000</v>
      </c>
      <c r="D77" s="706">
        <f t="shared" si="12"/>
        <v>5100000</v>
      </c>
      <c r="E77" s="706">
        <v>9469684</v>
      </c>
      <c r="F77" s="707">
        <f t="shared" si="11"/>
        <v>10044000</v>
      </c>
      <c r="G77" s="706">
        <v>837000</v>
      </c>
      <c r="H77" s="702">
        <f t="shared" si="13"/>
        <v>6.0647852663298973E-2</v>
      </c>
      <c r="I77" s="702">
        <f t="shared" si="14"/>
        <v>0.96941176470588242</v>
      </c>
      <c r="J77" s="690" t="s">
        <v>909</v>
      </c>
      <c r="M77" s="689">
        <f t="shared" si="15"/>
        <v>450500</v>
      </c>
      <c r="N77" s="689">
        <f t="shared" si="16"/>
        <v>441150</v>
      </c>
    </row>
    <row r="78" spans="2:16" s="307" customFormat="1">
      <c r="B78" s="708" t="s">
        <v>185</v>
      </c>
      <c r="C78" s="706">
        <v>150000</v>
      </c>
      <c r="D78" s="706">
        <f t="shared" si="12"/>
        <v>1800000</v>
      </c>
      <c r="E78" s="706">
        <v>1456648</v>
      </c>
      <c r="F78" s="707">
        <f t="shared" si="11"/>
        <v>1800000</v>
      </c>
      <c r="G78" s="706">
        <v>150000</v>
      </c>
      <c r="H78" s="702">
        <f t="shared" si="13"/>
        <v>0.23571377573717189</v>
      </c>
      <c r="I78" s="702">
        <f t="shared" si="14"/>
        <v>0</v>
      </c>
      <c r="J78" s="690" t="s">
        <v>908</v>
      </c>
      <c r="M78" s="689">
        <f t="shared" si="15"/>
        <v>159000</v>
      </c>
      <c r="N78" s="689">
        <f t="shared" si="16"/>
        <v>155700</v>
      </c>
    </row>
    <row r="79" spans="2:16" s="307" customFormat="1">
      <c r="B79" s="708" t="s">
        <v>47</v>
      </c>
      <c r="C79" s="706">
        <v>86000</v>
      </c>
      <c r="D79" s="706">
        <f t="shared" si="12"/>
        <v>1032000</v>
      </c>
      <c r="E79" s="706">
        <v>1826442.9699999997</v>
      </c>
      <c r="F79" s="707">
        <f t="shared" si="11"/>
        <v>1500000</v>
      </c>
      <c r="G79" s="706">
        <v>125000</v>
      </c>
      <c r="H79" s="702">
        <f t="shared" si="13"/>
        <v>-0.17873154287428961</v>
      </c>
      <c r="I79" s="702">
        <f t="shared" si="14"/>
        <v>0.45348837209302317</v>
      </c>
      <c r="J79" s="690"/>
      <c r="M79" s="689">
        <f t="shared" si="15"/>
        <v>91160</v>
      </c>
      <c r="N79" s="689">
        <f t="shared" si="16"/>
        <v>89268</v>
      </c>
    </row>
    <row r="80" spans="2:16" s="307" customFormat="1">
      <c r="B80" s="708" t="s">
        <v>186</v>
      </c>
      <c r="C80" s="706">
        <v>300000</v>
      </c>
      <c r="D80" s="706">
        <f t="shared" si="12"/>
        <v>3600000</v>
      </c>
      <c r="E80" s="706">
        <v>3600000</v>
      </c>
      <c r="F80" s="707">
        <f t="shared" si="11"/>
        <v>3600000</v>
      </c>
      <c r="G80" s="706">
        <v>300000</v>
      </c>
      <c r="H80" s="702">
        <f t="shared" si="13"/>
        <v>0</v>
      </c>
      <c r="I80" s="702">
        <f t="shared" si="14"/>
        <v>0</v>
      </c>
      <c r="J80" s="690" t="s">
        <v>907</v>
      </c>
      <c r="M80" s="689">
        <f t="shared" si="15"/>
        <v>318000</v>
      </c>
      <c r="N80" s="689">
        <f t="shared" si="16"/>
        <v>311400</v>
      </c>
    </row>
    <row r="81" spans="2:16" s="307" customFormat="1">
      <c r="B81" s="708" t="s">
        <v>151</v>
      </c>
      <c r="C81" s="706">
        <v>263774</v>
      </c>
      <c r="D81" s="706">
        <v>3165268</v>
      </c>
      <c r="E81" s="706">
        <v>3314119</v>
      </c>
      <c r="F81" s="707">
        <f t="shared" si="11"/>
        <v>3000000</v>
      </c>
      <c r="G81" s="706">
        <v>250000</v>
      </c>
      <c r="H81" s="702">
        <f t="shared" si="13"/>
        <v>-9.4782052183400745E-2</v>
      </c>
      <c r="I81" s="702">
        <f t="shared" si="14"/>
        <v>-5.2212956375257913E-2</v>
      </c>
      <c r="J81" s="690" t="s">
        <v>906</v>
      </c>
      <c r="M81" s="689">
        <f t="shared" si="15"/>
        <v>279600.44</v>
      </c>
      <c r="N81" s="689">
        <f t="shared" si="16"/>
        <v>273797.41200000001</v>
      </c>
    </row>
    <row r="82" spans="2:16" s="307" customFormat="1" ht="30">
      <c r="B82" s="712" t="s">
        <v>757</v>
      </c>
      <c r="C82" s="710"/>
      <c r="D82" s="710"/>
      <c r="E82" s="706"/>
      <c r="F82" s="711">
        <v>1578400</v>
      </c>
      <c r="G82" s="710">
        <f>F82/12</f>
        <v>131533.33333333334</v>
      </c>
      <c r="H82" s="698"/>
      <c r="I82" s="702"/>
      <c r="J82" s="690"/>
      <c r="M82" s="689"/>
      <c r="N82" s="689"/>
    </row>
    <row r="83" spans="2:16" s="307" customFormat="1" ht="15.75">
      <c r="B83" s="705" t="s">
        <v>139</v>
      </c>
      <c r="C83" s="703">
        <f>SUM(C71:C81)</f>
        <v>2508774</v>
      </c>
      <c r="D83" s="703">
        <f>SUM(D71:D81)</f>
        <v>30105268</v>
      </c>
      <c r="E83" s="703">
        <f>SUM(E71:E82)</f>
        <v>34889318.969999999</v>
      </c>
      <c r="F83" s="704">
        <f>SUM(F71:F82)</f>
        <v>39056400</v>
      </c>
      <c r="G83" s="703">
        <f>SUM(G71:G82)</f>
        <v>3254700.0000000005</v>
      </c>
      <c r="H83" s="702">
        <f t="shared" ref="H83:H88" si="17">+F83/E83-1</f>
        <v>0.11943715592680726</v>
      </c>
      <c r="I83" s="702">
        <f>+F83/D83-1</f>
        <v>0.29732776336686317</v>
      </c>
      <c r="J83" s="690"/>
      <c r="M83" s="689">
        <f t="shared" ref="M83:M89" si="18">+C83*$M$3</f>
        <v>2659300.44</v>
      </c>
      <c r="N83" s="689">
        <f t="shared" ref="N83:N89" si="19">+C83*$N$3</f>
        <v>2604107.412</v>
      </c>
      <c r="P83" s="688"/>
    </row>
    <row r="84" spans="2:16" s="307" customFormat="1" ht="23.25" customHeight="1">
      <c r="B84" s="709" t="s">
        <v>140</v>
      </c>
      <c r="C84" s="699">
        <f>+C16+C18+C28+C70+C83</f>
        <v>81222774</v>
      </c>
      <c r="D84" s="699">
        <f>+D16+D18+D28+D70+D83</f>
        <v>974673268</v>
      </c>
      <c r="E84" s="699">
        <f>+E16+E18+E28+E70+E83</f>
        <v>1002253148.53</v>
      </c>
      <c r="F84" s="700">
        <f>+F16+F18+F28+F70+F83</f>
        <v>1023195484</v>
      </c>
      <c r="G84" s="699">
        <f>+G16+G18+G28+G70+G83</f>
        <v>85266290.333333328</v>
      </c>
      <c r="H84" s="698">
        <f t="shared" si="17"/>
        <v>2.0895255356110365E-2</v>
      </c>
      <c r="I84" s="702">
        <f>+F84/D84-1</f>
        <v>4.9783058172474748E-2</v>
      </c>
      <c r="J84" s="690"/>
      <c r="M84" s="689">
        <f t="shared" si="18"/>
        <v>86096140.439999998</v>
      </c>
      <c r="N84" s="689">
        <f t="shared" si="19"/>
        <v>84309239.412</v>
      </c>
      <c r="P84" s="688"/>
    </row>
    <row r="85" spans="2:16" s="307" customFormat="1">
      <c r="B85" s="708" t="s">
        <v>141</v>
      </c>
      <c r="C85" s="706">
        <f>+D85/12</f>
        <v>812227.66666666663</v>
      </c>
      <c r="D85" s="706">
        <v>9746732</v>
      </c>
      <c r="E85" s="706">
        <v>9746735</v>
      </c>
      <c r="F85" s="707">
        <f>ROUND(+F84*1%,-3)</f>
        <v>10232000</v>
      </c>
      <c r="G85" s="706">
        <f>+F85/12</f>
        <v>852666.66666666663</v>
      </c>
      <c r="H85" s="702">
        <f t="shared" si="17"/>
        <v>4.9787441640713581E-2</v>
      </c>
      <c r="I85" s="702">
        <f>+F85/D85-1</f>
        <v>4.9787764760537145E-2</v>
      </c>
      <c r="J85" s="690"/>
      <c r="M85" s="689">
        <f t="shared" si="18"/>
        <v>860961.32666666666</v>
      </c>
      <c r="N85" s="689">
        <f t="shared" si="19"/>
        <v>843092.31799999997</v>
      </c>
    </row>
    <row r="86" spans="2:16" s="307" customFormat="1">
      <c r="B86" s="708" t="s">
        <v>527</v>
      </c>
      <c r="C86" s="706"/>
      <c r="D86" s="706"/>
      <c r="E86" s="706">
        <v>2897500</v>
      </c>
      <c r="F86" s="707"/>
      <c r="G86" s="706"/>
      <c r="H86" s="702">
        <f t="shared" si="17"/>
        <v>-1</v>
      </c>
      <c r="I86" s="702"/>
      <c r="J86" s="690"/>
      <c r="M86" s="689">
        <f t="shared" si="18"/>
        <v>0</v>
      </c>
      <c r="N86" s="689">
        <f t="shared" si="19"/>
        <v>0</v>
      </c>
    </row>
    <row r="87" spans="2:16" s="307" customFormat="1" ht="15.75">
      <c r="B87" s="705" t="s">
        <v>142</v>
      </c>
      <c r="C87" s="703">
        <f>SUM(C85:C85)</f>
        <v>812227.66666666663</v>
      </c>
      <c r="D87" s="703">
        <f>SUM(D85:D85)</f>
        <v>9746732</v>
      </c>
      <c r="E87" s="703">
        <f>+E85+E86</f>
        <v>12644235</v>
      </c>
      <c r="F87" s="704">
        <f>+F85+F86</f>
        <v>10232000</v>
      </c>
      <c r="G87" s="703">
        <f>SUM(G85:G85)</f>
        <v>852666.66666666663</v>
      </c>
      <c r="H87" s="702">
        <f t="shared" si="17"/>
        <v>-0.19077745707826532</v>
      </c>
      <c r="I87" s="702">
        <f>+F87/D87-1</f>
        <v>4.9787764760537145E-2</v>
      </c>
      <c r="J87" s="690"/>
      <c r="M87" s="689">
        <f t="shared" si="18"/>
        <v>860961.32666666666</v>
      </c>
      <c r="N87" s="689">
        <f t="shared" si="19"/>
        <v>843092.31799999997</v>
      </c>
      <c r="P87" s="688"/>
    </row>
    <row r="88" spans="2:16" s="307" customFormat="1" ht="21.75" customHeight="1">
      <c r="B88" s="701" t="s">
        <v>143</v>
      </c>
      <c r="C88" s="699">
        <f>+C16+C18+C28+C70+C83+C87</f>
        <v>82035001.666666672</v>
      </c>
      <c r="D88" s="699">
        <f>+D16+D18+D28+D70+D83+D87</f>
        <v>984420000</v>
      </c>
      <c r="E88" s="699">
        <f>+E16+E18+E28+E70+E83+E87</f>
        <v>1014897383.53</v>
      </c>
      <c r="F88" s="700">
        <f>+F16+F18+F28+F70+F83+F87</f>
        <v>1033427484</v>
      </c>
      <c r="G88" s="699">
        <f>+G16+G18+G28+G70+G83+G87</f>
        <v>86118957</v>
      </c>
      <c r="H88" s="698">
        <f t="shared" si="17"/>
        <v>1.8258102514314256E-2</v>
      </c>
      <c r="I88" s="698">
        <f>+F88/D88-1</f>
        <v>4.978310477235337E-2</v>
      </c>
      <c r="J88" s="697"/>
      <c r="M88" s="689">
        <f t="shared" si="18"/>
        <v>86957101.766666681</v>
      </c>
      <c r="N88" s="689">
        <f t="shared" si="19"/>
        <v>85152331.730000004</v>
      </c>
      <c r="P88" s="688"/>
    </row>
    <row r="89" spans="2:16" s="307" customFormat="1" ht="28.5" customHeight="1" thickBot="1">
      <c r="B89" s="696" t="s">
        <v>144</v>
      </c>
      <c r="C89" s="693">
        <f>+C10-C88</f>
        <v>-1.6666666716337204</v>
      </c>
      <c r="D89" s="695">
        <f>+D10-D88</f>
        <v>0</v>
      </c>
      <c r="E89" s="695">
        <f>+E10-E88</f>
        <v>-29592627.529999971</v>
      </c>
      <c r="F89" s="694">
        <f>+F10-F88</f>
        <v>516</v>
      </c>
      <c r="G89" s="693">
        <f>+G10-G88</f>
        <v>43</v>
      </c>
      <c r="H89" s="692"/>
      <c r="I89" s="691"/>
      <c r="J89" s="690"/>
      <c r="M89" s="689">
        <f t="shared" si="18"/>
        <v>-1.7666666719317436</v>
      </c>
      <c r="N89" s="689">
        <f t="shared" si="19"/>
        <v>-1.7300000051558018</v>
      </c>
      <c r="P89" s="688"/>
    </row>
    <row r="90" spans="2:16" s="307" customFormat="1">
      <c r="F90" s="686"/>
      <c r="G90" s="307">
        <f>+G89*12</f>
        <v>516</v>
      </c>
      <c r="H90" s="687"/>
      <c r="I90" s="687"/>
      <c r="J90" s="421"/>
    </row>
    <row r="91" spans="2:16" s="307" customFormat="1">
      <c r="F91" s="686"/>
      <c r="H91" s="687"/>
      <c r="I91" s="687"/>
      <c r="J91" s="421"/>
    </row>
    <row r="92" spans="2:16" s="307" customFormat="1">
      <c r="F92" s="686"/>
      <c r="H92" s="687"/>
      <c r="I92" s="687"/>
      <c r="J92" s="421"/>
    </row>
  </sheetData>
  <mergeCells count="4">
    <mergeCell ref="B1:H1"/>
    <mergeCell ref="B2:H2"/>
    <mergeCell ref="B3:H3"/>
    <mergeCell ref="B5:B6"/>
  </mergeCells>
  <printOptions horizontalCentered="1" verticalCentered="1"/>
  <pageMargins left="0.70866141732283472" right="0.70866141732283472" top="0.74803149606299213" bottom="0.74803149606299213" header="0.31496062992125984" footer="0.31496062992125984"/>
  <pageSetup scale="53" fitToHeight="0" orientation="landscape"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37"/>
  <sheetViews>
    <sheetView workbookViewId="0">
      <selection activeCell="I6" sqref="I6"/>
    </sheetView>
  </sheetViews>
  <sheetFormatPr baseColWidth="10" defaultRowHeight="12.75"/>
  <cols>
    <col min="1" max="1" width="50.85546875" customWidth="1"/>
    <col min="2" max="2" width="23" style="437" customWidth="1"/>
    <col min="3" max="7" width="11.42578125" style="437"/>
  </cols>
  <sheetData>
    <row r="1" spans="1:2" ht="15">
      <c r="A1" s="300" t="s">
        <v>449</v>
      </c>
      <c r="B1" s="440"/>
    </row>
    <row r="2" spans="1:2" ht="15">
      <c r="A2" s="300" t="s">
        <v>450</v>
      </c>
      <c r="B2" s="440"/>
    </row>
    <row r="3" spans="1:2" ht="15">
      <c r="A3" s="300" t="s">
        <v>179</v>
      </c>
      <c r="B3" s="440"/>
    </row>
    <row r="4" spans="1:2" ht="27" customHeight="1">
      <c r="A4" s="447" t="s">
        <v>98</v>
      </c>
      <c r="B4" s="448" t="s">
        <v>453</v>
      </c>
    </row>
    <row r="5" spans="1:2" ht="23.25" customHeight="1">
      <c r="A5" s="449" t="s">
        <v>454</v>
      </c>
      <c r="B5" s="446">
        <f>SUM(B6:B15)</f>
        <v>39115532.579999998</v>
      </c>
    </row>
    <row r="6" spans="1:2" ht="24.75" customHeight="1">
      <c r="A6" s="450" t="s">
        <v>34</v>
      </c>
      <c r="B6" s="451">
        <v>8061930</v>
      </c>
    </row>
    <row r="7" spans="1:2" ht="15">
      <c r="A7" s="452" t="s">
        <v>447</v>
      </c>
      <c r="B7" s="445">
        <v>11246292</v>
      </c>
    </row>
    <row r="8" spans="1:2" ht="15">
      <c r="A8" s="452" t="s">
        <v>448</v>
      </c>
      <c r="B8" s="445">
        <v>2978165</v>
      </c>
    </row>
    <row r="9" spans="1:2" ht="15">
      <c r="A9" s="452" t="s">
        <v>155</v>
      </c>
      <c r="B9" s="445">
        <v>8708766</v>
      </c>
    </row>
    <row r="10" spans="1:2" ht="15">
      <c r="A10" s="452" t="s">
        <v>36</v>
      </c>
      <c r="B10" s="445">
        <v>2500000</v>
      </c>
    </row>
    <row r="11" spans="1:2" ht="15">
      <c r="A11" s="452" t="s">
        <v>37</v>
      </c>
      <c r="B11" s="445">
        <v>1140778.58</v>
      </c>
    </row>
    <row r="12" spans="1:2" ht="15">
      <c r="A12" s="452" t="s">
        <v>39</v>
      </c>
      <c r="B12" s="445">
        <v>2612300</v>
      </c>
    </row>
    <row r="13" spans="1:2" ht="15">
      <c r="A13" s="452" t="s">
        <v>40</v>
      </c>
      <c r="B13" s="445">
        <v>1867301</v>
      </c>
    </row>
    <row r="14" spans="1:2" ht="15">
      <c r="A14" s="453" t="s">
        <v>480</v>
      </c>
      <c r="B14" s="445"/>
    </row>
    <row r="15" spans="1:2" ht="15">
      <c r="A15" s="454"/>
      <c r="B15" s="455"/>
    </row>
    <row r="16" spans="1:2" ht="32.25" customHeight="1">
      <c r="A16" s="449" t="s">
        <v>479</v>
      </c>
      <c r="B16" s="446">
        <f>SUM(B17:B26)</f>
        <v>39942476</v>
      </c>
    </row>
    <row r="17" spans="1:13" ht="21.75" customHeight="1">
      <c r="A17" s="450" t="s">
        <v>361</v>
      </c>
      <c r="B17" s="451">
        <v>3781564</v>
      </c>
    </row>
    <row r="18" spans="1:13" ht="15">
      <c r="A18" s="452" t="s">
        <v>362</v>
      </c>
      <c r="B18" s="445">
        <v>1550580</v>
      </c>
    </row>
    <row r="19" spans="1:13" ht="15">
      <c r="A19" s="452" t="s">
        <v>363</v>
      </c>
      <c r="B19" s="445">
        <v>1500000</v>
      </c>
    </row>
    <row r="20" spans="1:13" ht="15">
      <c r="A20" s="452" t="s">
        <v>435</v>
      </c>
      <c r="B20" s="445">
        <v>11801598</v>
      </c>
    </row>
    <row r="21" spans="1:13" ht="15">
      <c r="A21" s="452" t="s">
        <v>436</v>
      </c>
      <c r="B21" s="445">
        <v>7777728</v>
      </c>
    </row>
    <row r="22" spans="1:13" ht="15">
      <c r="A22" s="452" t="s">
        <v>456</v>
      </c>
      <c r="B22" s="445">
        <v>1476000</v>
      </c>
    </row>
    <row r="23" spans="1:13" ht="15">
      <c r="A23" s="452" t="s">
        <v>443</v>
      </c>
      <c r="B23" s="445">
        <v>3692800</v>
      </c>
    </row>
    <row r="24" spans="1:13" ht="15">
      <c r="A24" s="452" t="s">
        <v>444</v>
      </c>
      <c r="B24" s="445">
        <v>1400000</v>
      </c>
    </row>
    <row r="25" spans="1:13" ht="15">
      <c r="A25" s="452" t="s">
        <v>445</v>
      </c>
      <c r="B25" s="445">
        <v>3400000</v>
      </c>
    </row>
    <row r="26" spans="1:13" ht="15">
      <c r="A26" s="452" t="s">
        <v>446</v>
      </c>
      <c r="B26" s="445">
        <v>3562206</v>
      </c>
    </row>
    <row r="27" spans="1:13" ht="15">
      <c r="A27" s="454"/>
      <c r="B27" s="455"/>
      <c r="M27">
        <f>1072500+1624000</f>
        <v>2696500</v>
      </c>
    </row>
    <row r="28" spans="1:13" ht="13.5" thickBot="1"/>
    <row r="29" spans="1:13" ht="23.25" customHeight="1">
      <c r="A29" s="438" t="s">
        <v>455</v>
      </c>
      <c r="B29" s="439">
        <f>+B5-B16</f>
        <v>-826943.42000000179</v>
      </c>
    </row>
    <row r="33" spans="1:1">
      <c r="A33" s="456"/>
    </row>
    <row r="35" spans="1:1">
      <c r="A35" s="456" t="s">
        <v>458</v>
      </c>
    </row>
    <row r="36" spans="1:1">
      <c r="A36" s="456" t="s">
        <v>459</v>
      </c>
    </row>
    <row r="37" spans="1:1">
      <c r="A37" s="456" t="s">
        <v>457</v>
      </c>
    </row>
  </sheetData>
  <pageMargins left="0.70866141732283472" right="0.70866141732283472" top="0.74803149606299213" bottom="0.74803149606299213" header="0.31496062992125984" footer="0.31496062992125984"/>
  <pageSetup paperSize="9" scale="94" orientation="landscape"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C11" sqref="C11"/>
    </sheetView>
  </sheetViews>
  <sheetFormatPr baseColWidth="10" defaultRowHeight="12.75"/>
  <cols>
    <col min="1" max="1" width="54.5703125" bestFit="1" customWidth="1"/>
    <col min="2" max="2" width="12.85546875" bestFit="1" customWidth="1"/>
    <col min="3" max="3" width="13.140625" bestFit="1" customWidth="1"/>
  </cols>
  <sheetData>
    <row r="1" spans="1:3" ht="21">
      <c r="A1" s="355" t="s">
        <v>334</v>
      </c>
      <c r="B1" s="356"/>
      <c r="C1" s="356"/>
    </row>
    <row r="2" spans="1:3" ht="21">
      <c r="A2" s="1005" t="s">
        <v>335</v>
      </c>
      <c r="B2" s="1005"/>
      <c r="C2" s="1005"/>
    </row>
    <row r="3" spans="1:3" ht="15">
      <c r="A3" s="357" t="s">
        <v>336</v>
      </c>
      <c r="B3" s="357"/>
      <c r="C3" s="357"/>
    </row>
    <row r="4" spans="1:3" ht="15">
      <c r="A4" s="358" t="s">
        <v>337</v>
      </c>
      <c r="B4" s="359" t="s">
        <v>338</v>
      </c>
      <c r="C4" s="360" t="s">
        <v>339</v>
      </c>
    </row>
    <row r="5" spans="1:3" ht="15">
      <c r="A5" s="361" t="s">
        <v>340</v>
      </c>
      <c r="B5" s="362">
        <v>1000000</v>
      </c>
      <c r="C5" s="363"/>
    </row>
    <row r="6" spans="1:3" ht="15">
      <c r="A6" s="361" t="s">
        <v>341</v>
      </c>
      <c r="B6" s="362">
        <v>2500000</v>
      </c>
      <c r="C6" s="363"/>
    </row>
    <row r="7" spans="1:3" ht="15">
      <c r="A7" s="361" t="s">
        <v>342</v>
      </c>
      <c r="B7" s="362">
        <v>1500000</v>
      </c>
      <c r="C7" s="363"/>
    </row>
    <row r="8" spans="1:3" ht="15">
      <c r="A8" s="361" t="s">
        <v>343</v>
      </c>
      <c r="B8" s="362">
        <v>900000</v>
      </c>
      <c r="C8" s="363"/>
    </row>
    <row r="9" spans="1:3" ht="15">
      <c r="A9" s="361" t="s">
        <v>344</v>
      </c>
      <c r="B9" s="362">
        <v>1600000</v>
      </c>
      <c r="C9" s="363"/>
    </row>
    <row r="10" spans="1:3" ht="15">
      <c r="A10" s="361" t="s">
        <v>345</v>
      </c>
      <c r="B10" s="362">
        <v>1000000</v>
      </c>
      <c r="C10" s="363"/>
    </row>
    <row r="11" spans="1:3" ht="15">
      <c r="A11" s="364" t="s">
        <v>346</v>
      </c>
      <c r="B11" s="365"/>
      <c r="C11" s="366">
        <v>18410000</v>
      </c>
    </row>
    <row r="12" spans="1:3" ht="15">
      <c r="A12" s="367" t="s">
        <v>347</v>
      </c>
      <c r="B12" s="368">
        <v>900000</v>
      </c>
      <c r="C12" s="363"/>
    </row>
    <row r="13" spans="1:3" ht="15">
      <c r="A13" s="364" t="s">
        <v>348</v>
      </c>
      <c r="B13" s="365"/>
      <c r="C13" s="366">
        <v>3516240</v>
      </c>
    </row>
    <row r="14" spans="1:3" ht="15">
      <c r="A14" s="367" t="s">
        <v>349</v>
      </c>
      <c r="B14" s="368">
        <v>1000000</v>
      </c>
      <c r="C14" s="369"/>
    </row>
    <row r="15" spans="1:3" ht="15">
      <c r="A15" s="367" t="s">
        <v>350</v>
      </c>
      <c r="B15" s="368">
        <v>300000</v>
      </c>
      <c r="C15" s="363"/>
    </row>
    <row r="16" spans="1:3" ht="15">
      <c r="A16" s="367" t="s">
        <v>351</v>
      </c>
      <c r="B16" s="368">
        <v>800000</v>
      </c>
      <c r="C16" s="363"/>
    </row>
    <row r="17" spans="1:3" ht="15">
      <c r="A17" s="361" t="s">
        <v>352</v>
      </c>
      <c r="B17" s="362">
        <v>1476000</v>
      </c>
      <c r="C17" s="363"/>
    </row>
    <row r="18" spans="1:3" ht="15">
      <c r="A18" s="361" t="s">
        <v>353</v>
      </c>
      <c r="B18" s="362">
        <v>3400000</v>
      </c>
      <c r="C18" s="363"/>
    </row>
    <row r="19" spans="1:3" ht="15">
      <c r="A19" s="361" t="s">
        <v>354</v>
      </c>
      <c r="B19" s="362">
        <v>3100000</v>
      </c>
      <c r="C19" s="363"/>
    </row>
    <row r="20" spans="1:3" ht="15">
      <c r="A20" s="361" t="s">
        <v>355</v>
      </c>
      <c r="B20" s="362">
        <v>1800000</v>
      </c>
      <c r="C20" s="363"/>
    </row>
    <row r="21" spans="1:3" ht="15">
      <c r="A21" s="364" t="s">
        <v>356</v>
      </c>
      <c r="B21" s="365"/>
      <c r="C21" s="366">
        <v>9600000</v>
      </c>
    </row>
    <row r="22" spans="1:3" ht="15">
      <c r="A22" s="361" t="s">
        <v>357</v>
      </c>
      <c r="B22" s="362">
        <v>2757000</v>
      </c>
      <c r="C22" s="363"/>
    </row>
    <row r="23" spans="1:3" ht="15">
      <c r="A23" s="367" t="s">
        <v>358</v>
      </c>
      <c r="B23" s="368">
        <v>9075000</v>
      </c>
      <c r="C23" s="363"/>
    </row>
    <row r="24" spans="1:3" ht="15">
      <c r="A24" s="367" t="s">
        <v>359</v>
      </c>
      <c r="B24" s="368">
        <v>3910000</v>
      </c>
      <c r="C24" s="363"/>
    </row>
    <row r="25" spans="1:3" ht="15">
      <c r="A25" s="370" t="s">
        <v>360</v>
      </c>
      <c r="B25" s="371">
        <v>37018000</v>
      </c>
      <c r="C25" s="372">
        <v>31526240</v>
      </c>
    </row>
  </sheetData>
  <mergeCells count="1">
    <mergeCell ref="A2:C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7"/>
  <sheetViews>
    <sheetView workbookViewId="0">
      <pane xSplit="2" ySplit="6" topLeftCell="C60" activePane="bottomRight" state="frozen"/>
      <selection pane="topRight" activeCell="D1" sqref="D1"/>
      <selection pane="bottomLeft" activeCell="A7" sqref="A7"/>
      <selection pane="bottomRight" sqref="A1:E80"/>
    </sheetView>
  </sheetViews>
  <sheetFormatPr baseColWidth="10" defaultRowHeight="12.75"/>
  <cols>
    <col min="1" max="1" width="37" style="500" customWidth="1"/>
    <col min="2" max="3" width="17.140625" style="500" customWidth="1"/>
    <col min="4" max="4" width="17.85546875" style="500" customWidth="1"/>
    <col min="5" max="5" width="7.42578125" style="500" customWidth="1"/>
    <col min="6" max="7" width="0" style="500" hidden="1" customWidth="1"/>
    <col min="8" max="8" width="49" style="500" customWidth="1"/>
    <col min="9" max="9" width="31.28515625" style="500" customWidth="1"/>
    <col min="10" max="10" width="12.28515625" style="500" bestFit="1" customWidth="1"/>
    <col min="11" max="255" width="11.42578125" style="500"/>
    <col min="256" max="256" width="37" style="500" customWidth="1"/>
    <col min="257" max="257" width="7.28515625" style="500" bestFit="1" customWidth="1"/>
    <col min="258" max="259" width="17.140625" style="500" customWidth="1"/>
    <col min="260" max="260" width="17.85546875" style="500" customWidth="1"/>
    <col min="261" max="261" width="7.42578125" style="500" customWidth="1"/>
    <col min="262" max="263" width="0" style="500" hidden="1" customWidth="1"/>
    <col min="264" max="264" width="49" style="500" customWidth="1"/>
    <col min="265" max="265" width="31.28515625" style="500" customWidth="1"/>
    <col min="266" max="266" width="12.28515625" style="500" bestFit="1" customWidth="1"/>
    <col min="267" max="511" width="11.42578125" style="500"/>
    <col min="512" max="512" width="37" style="500" customWidth="1"/>
    <col min="513" max="513" width="7.28515625" style="500" bestFit="1" customWidth="1"/>
    <col min="514" max="515" width="17.140625" style="500" customWidth="1"/>
    <col min="516" max="516" width="17.85546875" style="500" customWidth="1"/>
    <col min="517" max="517" width="7.42578125" style="500" customWidth="1"/>
    <col min="518" max="519" width="0" style="500" hidden="1" customWidth="1"/>
    <col min="520" max="520" width="49" style="500" customWidth="1"/>
    <col min="521" max="521" width="31.28515625" style="500" customWidth="1"/>
    <col min="522" max="522" width="12.28515625" style="500" bestFit="1" customWidth="1"/>
    <col min="523" max="767" width="11.42578125" style="500"/>
    <col min="768" max="768" width="37" style="500" customWidth="1"/>
    <col min="769" max="769" width="7.28515625" style="500" bestFit="1" customWidth="1"/>
    <col min="770" max="771" width="17.140625" style="500" customWidth="1"/>
    <col min="772" max="772" width="17.85546875" style="500" customWidth="1"/>
    <col min="773" max="773" width="7.42578125" style="500" customWidth="1"/>
    <col min="774" max="775" width="0" style="500" hidden="1" customWidth="1"/>
    <col min="776" max="776" width="49" style="500" customWidth="1"/>
    <col min="777" max="777" width="31.28515625" style="500" customWidth="1"/>
    <col min="778" max="778" width="12.28515625" style="500" bestFit="1" customWidth="1"/>
    <col min="779" max="1023" width="11.42578125" style="500"/>
    <col min="1024" max="1024" width="37" style="500" customWidth="1"/>
    <col min="1025" max="1025" width="7.28515625" style="500" bestFit="1" customWidth="1"/>
    <col min="1026" max="1027" width="17.140625" style="500" customWidth="1"/>
    <col min="1028" max="1028" width="17.85546875" style="500" customWidth="1"/>
    <col min="1029" max="1029" width="7.42578125" style="500" customWidth="1"/>
    <col min="1030" max="1031" width="0" style="500" hidden="1" customWidth="1"/>
    <col min="1032" max="1032" width="49" style="500" customWidth="1"/>
    <col min="1033" max="1033" width="31.28515625" style="500" customWidth="1"/>
    <col min="1034" max="1034" width="12.28515625" style="500" bestFit="1" customWidth="1"/>
    <col min="1035" max="1279" width="11.42578125" style="500"/>
    <col min="1280" max="1280" width="37" style="500" customWidth="1"/>
    <col min="1281" max="1281" width="7.28515625" style="500" bestFit="1" customWidth="1"/>
    <col min="1282" max="1283" width="17.140625" style="500" customWidth="1"/>
    <col min="1284" max="1284" width="17.85546875" style="500" customWidth="1"/>
    <col min="1285" max="1285" width="7.42578125" style="500" customWidth="1"/>
    <col min="1286" max="1287" width="0" style="500" hidden="1" customWidth="1"/>
    <col min="1288" max="1288" width="49" style="500" customWidth="1"/>
    <col min="1289" max="1289" width="31.28515625" style="500" customWidth="1"/>
    <col min="1290" max="1290" width="12.28515625" style="500" bestFit="1" customWidth="1"/>
    <col min="1291" max="1535" width="11.42578125" style="500"/>
    <col min="1536" max="1536" width="37" style="500" customWidth="1"/>
    <col min="1537" max="1537" width="7.28515625" style="500" bestFit="1" customWidth="1"/>
    <col min="1538" max="1539" width="17.140625" style="500" customWidth="1"/>
    <col min="1540" max="1540" width="17.85546875" style="500" customWidth="1"/>
    <col min="1541" max="1541" width="7.42578125" style="500" customWidth="1"/>
    <col min="1542" max="1543" width="0" style="500" hidden="1" customWidth="1"/>
    <col min="1544" max="1544" width="49" style="500" customWidth="1"/>
    <col min="1545" max="1545" width="31.28515625" style="500" customWidth="1"/>
    <col min="1546" max="1546" width="12.28515625" style="500" bestFit="1" customWidth="1"/>
    <col min="1547" max="1791" width="11.42578125" style="500"/>
    <col min="1792" max="1792" width="37" style="500" customWidth="1"/>
    <col min="1793" max="1793" width="7.28515625" style="500" bestFit="1" customWidth="1"/>
    <col min="1794" max="1795" width="17.140625" style="500" customWidth="1"/>
    <col min="1796" max="1796" width="17.85546875" style="500" customWidth="1"/>
    <col min="1797" max="1797" width="7.42578125" style="500" customWidth="1"/>
    <col min="1798" max="1799" width="0" style="500" hidden="1" customWidth="1"/>
    <col min="1800" max="1800" width="49" style="500" customWidth="1"/>
    <col min="1801" max="1801" width="31.28515625" style="500" customWidth="1"/>
    <col min="1802" max="1802" width="12.28515625" style="500" bestFit="1" customWidth="1"/>
    <col min="1803" max="2047" width="11.42578125" style="500"/>
    <col min="2048" max="2048" width="37" style="500" customWidth="1"/>
    <col min="2049" max="2049" width="7.28515625" style="500" bestFit="1" customWidth="1"/>
    <col min="2050" max="2051" width="17.140625" style="500" customWidth="1"/>
    <col min="2052" max="2052" width="17.85546875" style="500" customWidth="1"/>
    <col min="2053" max="2053" width="7.42578125" style="500" customWidth="1"/>
    <col min="2054" max="2055" width="0" style="500" hidden="1" customWidth="1"/>
    <col min="2056" max="2056" width="49" style="500" customWidth="1"/>
    <col min="2057" max="2057" width="31.28515625" style="500" customWidth="1"/>
    <col min="2058" max="2058" width="12.28515625" style="500" bestFit="1" customWidth="1"/>
    <col min="2059" max="2303" width="11.42578125" style="500"/>
    <col min="2304" max="2304" width="37" style="500" customWidth="1"/>
    <col min="2305" max="2305" width="7.28515625" style="500" bestFit="1" customWidth="1"/>
    <col min="2306" max="2307" width="17.140625" style="500" customWidth="1"/>
    <col min="2308" max="2308" width="17.85546875" style="500" customWidth="1"/>
    <col min="2309" max="2309" width="7.42578125" style="500" customWidth="1"/>
    <col min="2310" max="2311" width="0" style="500" hidden="1" customWidth="1"/>
    <col min="2312" max="2312" width="49" style="500" customWidth="1"/>
    <col min="2313" max="2313" width="31.28515625" style="500" customWidth="1"/>
    <col min="2314" max="2314" width="12.28515625" style="500" bestFit="1" customWidth="1"/>
    <col min="2315" max="2559" width="11.42578125" style="500"/>
    <col min="2560" max="2560" width="37" style="500" customWidth="1"/>
    <col min="2561" max="2561" width="7.28515625" style="500" bestFit="1" customWidth="1"/>
    <col min="2562" max="2563" width="17.140625" style="500" customWidth="1"/>
    <col min="2564" max="2564" width="17.85546875" style="500" customWidth="1"/>
    <col min="2565" max="2565" width="7.42578125" style="500" customWidth="1"/>
    <col min="2566" max="2567" width="0" style="500" hidden="1" customWidth="1"/>
    <col min="2568" max="2568" width="49" style="500" customWidth="1"/>
    <col min="2569" max="2569" width="31.28515625" style="500" customWidth="1"/>
    <col min="2570" max="2570" width="12.28515625" style="500" bestFit="1" customWidth="1"/>
    <col min="2571" max="2815" width="11.42578125" style="500"/>
    <col min="2816" max="2816" width="37" style="500" customWidth="1"/>
    <col min="2817" max="2817" width="7.28515625" style="500" bestFit="1" customWidth="1"/>
    <col min="2818" max="2819" width="17.140625" style="500" customWidth="1"/>
    <col min="2820" max="2820" width="17.85546875" style="500" customWidth="1"/>
    <col min="2821" max="2821" width="7.42578125" style="500" customWidth="1"/>
    <col min="2822" max="2823" width="0" style="500" hidden="1" customWidth="1"/>
    <col min="2824" max="2824" width="49" style="500" customWidth="1"/>
    <col min="2825" max="2825" width="31.28515625" style="500" customWidth="1"/>
    <col min="2826" max="2826" width="12.28515625" style="500" bestFit="1" customWidth="1"/>
    <col min="2827" max="3071" width="11.42578125" style="500"/>
    <col min="3072" max="3072" width="37" style="500" customWidth="1"/>
    <col min="3073" max="3073" width="7.28515625" style="500" bestFit="1" customWidth="1"/>
    <col min="3074" max="3075" width="17.140625" style="500" customWidth="1"/>
    <col min="3076" max="3076" width="17.85546875" style="500" customWidth="1"/>
    <col min="3077" max="3077" width="7.42578125" style="500" customWidth="1"/>
    <col min="3078" max="3079" width="0" style="500" hidden="1" customWidth="1"/>
    <col min="3080" max="3080" width="49" style="500" customWidth="1"/>
    <col min="3081" max="3081" width="31.28515625" style="500" customWidth="1"/>
    <col min="3082" max="3082" width="12.28515625" style="500" bestFit="1" customWidth="1"/>
    <col min="3083" max="3327" width="11.42578125" style="500"/>
    <col min="3328" max="3328" width="37" style="500" customWidth="1"/>
    <col min="3329" max="3329" width="7.28515625" style="500" bestFit="1" customWidth="1"/>
    <col min="3330" max="3331" width="17.140625" style="500" customWidth="1"/>
    <col min="3332" max="3332" width="17.85546875" style="500" customWidth="1"/>
    <col min="3333" max="3333" width="7.42578125" style="500" customWidth="1"/>
    <col min="3334" max="3335" width="0" style="500" hidden="1" customWidth="1"/>
    <col min="3336" max="3336" width="49" style="500" customWidth="1"/>
    <col min="3337" max="3337" width="31.28515625" style="500" customWidth="1"/>
    <col min="3338" max="3338" width="12.28515625" style="500" bestFit="1" customWidth="1"/>
    <col min="3339" max="3583" width="11.42578125" style="500"/>
    <col min="3584" max="3584" width="37" style="500" customWidth="1"/>
    <col min="3585" max="3585" width="7.28515625" style="500" bestFit="1" customWidth="1"/>
    <col min="3586" max="3587" width="17.140625" style="500" customWidth="1"/>
    <col min="3588" max="3588" width="17.85546875" style="500" customWidth="1"/>
    <col min="3589" max="3589" width="7.42578125" style="500" customWidth="1"/>
    <col min="3590" max="3591" width="0" style="500" hidden="1" customWidth="1"/>
    <col min="3592" max="3592" width="49" style="500" customWidth="1"/>
    <col min="3593" max="3593" width="31.28515625" style="500" customWidth="1"/>
    <col min="3594" max="3594" width="12.28515625" style="500" bestFit="1" customWidth="1"/>
    <col min="3595" max="3839" width="11.42578125" style="500"/>
    <col min="3840" max="3840" width="37" style="500" customWidth="1"/>
    <col min="3841" max="3841" width="7.28515625" style="500" bestFit="1" customWidth="1"/>
    <col min="3842" max="3843" width="17.140625" style="500" customWidth="1"/>
    <col min="3844" max="3844" width="17.85546875" style="500" customWidth="1"/>
    <col min="3845" max="3845" width="7.42578125" style="500" customWidth="1"/>
    <col min="3846" max="3847" width="0" style="500" hidden="1" customWidth="1"/>
    <col min="3848" max="3848" width="49" style="500" customWidth="1"/>
    <col min="3849" max="3849" width="31.28515625" style="500" customWidth="1"/>
    <col min="3850" max="3850" width="12.28515625" style="500" bestFit="1" customWidth="1"/>
    <col min="3851" max="4095" width="11.42578125" style="500"/>
    <col min="4096" max="4096" width="37" style="500" customWidth="1"/>
    <col min="4097" max="4097" width="7.28515625" style="500" bestFit="1" customWidth="1"/>
    <col min="4098" max="4099" width="17.140625" style="500" customWidth="1"/>
    <col min="4100" max="4100" width="17.85546875" style="500" customWidth="1"/>
    <col min="4101" max="4101" width="7.42578125" style="500" customWidth="1"/>
    <col min="4102" max="4103" width="0" style="500" hidden="1" customWidth="1"/>
    <col min="4104" max="4104" width="49" style="500" customWidth="1"/>
    <col min="4105" max="4105" width="31.28515625" style="500" customWidth="1"/>
    <col min="4106" max="4106" width="12.28515625" style="500" bestFit="1" customWidth="1"/>
    <col min="4107" max="4351" width="11.42578125" style="500"/>
    <col min="4352" max="4352" width="37" style="500" customWidth="1"/>
    <col min="4353" max="4353" width="7.28515625" style="500" bestFit="1" customWidth="1"/>
    <col min="4354" max="4355" width="17.140625" style="500" customWidth="1"/>
    <col min="4356" max="4356" width="17.85546875" style="500" customWidth="1"/>
    <col min="4357" max="4357" width="7.42578125" style="500" customWidth="1"/>
    <col min="4358" max="4359" width="0" style="500" hidden="1" customWidth="1"/>
    <col min="4360" max="4360" width="49" style="500" customWidth="1"/>
    <col min="4361" max="4361" width="31.28515625" style="500" customWidth="1"/>
    <col min="4362" max="4362" width="12.28515625" style="500" bestFit="1" customWidth="1"/>
    <col min="4363" max="4607" width="11.42578125" style="500"/>
    <col min="4608" max="4608" width="37" style="500" customWidth="1"/>
    <col min="4609" max="4609" width="7.28515625" style="500" bestFit="1" customWidth="1"/>
    <col min="4610" max="4611" width="17.140625" style="500" customWidth="1"/>
    <col min="4612" max="4612" width="17.85546875" style="500" customWidth="1"/>
    <col min="4613" max="4613" width="7.42578125" style="500" customWidth="1"/>
    <col min="4614" max="4615" width="0" style="500" hidden="1" customWidth="1"/>
    <col min="4616" max="4616" width="49" style="500" customWidth="1"/>
    <col min="4617" max="4617" width="31.28515625" style="500" customWidth="1"/>
    <col min="4618" max="4618" width="12.28515625" style="500" bestFit="1" customWidth="1"/>
    <col min="4619" max="4863" width="11.42578125" style="500"/>
    <col min="4864" max="4864" width="37" style="500" customWidth="1"/>
    <col min="4865" max="4865" width="7.28515625" style="500" bestFit="1" customWidth="1"/>
    <col min="4866" max="4867" width="17.140625" style="500" customWidth="1"/>
    <col min="4868" max="4868" width="17.85546875" style="500" customWidth="1"/>
    <col min="4869" max="4869" width="7.42578125" style="500" customWidth="1"/>
    <col min="4870" max="4871" width="0" style="500" hidden="1" customWidth="1"/>
    <col min="4872" max="4872" width="49" style="500" customWidth="1"/>
    <col min="4873" max="4873" width="31.28515625" style="500" customWidth="1"/>
    <col min="4874" max="4874" width="12.28515625" style="500" bestFit="1" customWidth="1"/>
    <col min="4875" max="5119" width="11.42578125" style="500"/>
    <col min="5120" max="5120" width="37" style="500" customWidth="1"/>
    <col min="5121" max="5121" width="7.28515625" style="500" bestFit="1" customWidth="1"/>
    <col min="5122" max="5123" width="17.140625" style="500" customWidth="1"/>
    <col min="5124" max="5124" width="17.85546875" style="500" customWidth="1"/>
    <col min="5125" max="5125" width="7.42578125" style="500" customWidth="1"/>
    <col min="5126" max="5127" width="0" style="500" hidden="1" customWidth="1"/>
    <col min="5128" max="5128" width="49" style="500" customWidth="1"/>
    <col min="5129" max="5129" width="31.28515625" style="500" customWidth="1"/>
    <col min="5130" max="5130" width="12.28515625" style="500" bestFit="1" customWidth="1"/>
    <col min="5131" max="5375" width="11.42578125" style="500"/>
    <col min="5376" max="5376" width="37" style="500" customWidth="1"/>
    <col min="5377" max="5377" width="7.28515625" style="500" bestFit="1" customWidth="1"/>
    <col min="5378" max="5379" width="17.140625" style="500" customWidth="1"/>
    <col min="5380" max="5380" width="17.85546875" style="500" customWidth="1"/>
    <col min="5381" max="5381" width="7.42578125" style="500" customWidth="1"/>
    <col min="5382" max="5383" width="0" style="500" hidden="1" customWidth="1"/>
    <col min="5384" max="5384" width="49" style="500" customWidth="1"/>
    <col min="5385" max="5385" width="31.28515625" style="500" customWidth="1"/>
    <col min="5386" max="5386" width="12.28515625" style="500" bestFit="1" customWidth="1"/>
    <col min="5387" max="5631" width="11.42578125" style="500"/>
    <col min="5632" max="5632" width="37" style="500" customWidth="1"/>
    <col min="5633" max="5633" width="7.28515625" style="500" bestFit="1" customWidth="1"/>
    <col min="5634" max="5635" width="17.140625" style="500" customWidth="1"/>
    <col min="5636" max="5636" width="17.85546875" style="500" customWidth="1"/>
    <col min="5637" max="5637" width="7.42578125" style="500" customWidth="1"/>
    <col min="5638" max="5639" width="0" style="500" hidden="1" customWidth="1"/>
    <col min="5640" max="5640" width="49" style="500" customWidth="1"/>
    <col min="5641" max="5641" width="31.28515625" style="500" customWidth="1"/>
    <col min="5642" max="5642" width="12.28515625" style="500" bestFit="1" customWidth="1"/>
    <col min="5643" max="5887" width="11.42578125" style="500"/>
    <col min="5888" max="5888" width="37" style="500" customWidth="1"/>
    <col min="5889" max="5889" width="7.28515625" style="500" bestFit="1" customWidth="1"/>
    <col min="5890" max="5891" width="17.140625" style="500" customWidth="1"/>
    <col min="5892" max="5892" width="17.85546875" style="500" customWidth="1"/>
    <col min="5893" max="5893" width="7.42578125" style="500" customWidth="1"/>
    <col min="5894" max="5895" width="0" style="500" hidden="1" customWidth="1"/>
    <col min="5896" max="5896" width="49" style="500" customWidth="1"/>
    <col min="5897" max="5897" width="31.28515625" style="500" customWidth="1"/>
    <col min="5898" max="5898" width="12.28515625" style="500" bestFit="1" customWidth="1"/>
    <col min="5899" max="6143" width="11.42578125" style="500"/>
    <col min="6144" max="6144" width="37" style="500" customWidth="1"/>
    <col min="6145" max="6145" width="7.28515625" style="500" bestFit="1" customWidth="1"/>
    <col min="6146" max="6147" width="17.140625" style="500" customWidth="1"/>
    <col min="6148" max="6148" width="17.85546875" style="500" customWidth="1"/>
    <col min="6149" max="6149" width="7.42578125" style="500" customWidth="1"/>
    <col min="6150" max="6151" width="0" style="500" hidden="1" customWidth="1"/>
    <col min="6152" max="6152" width="49" style="500" customWidth="1"/>
    <col min="6153" max="6153" width="31.28515625" style="500" customWidth="1"/>
    <col min="6154" max="6154" width="12.28515625" style="500" bestFit="1" customWidth="1"/>
    <col min="6155" max="6399" width="11.42578125" style="500"/>
    <col min="6400" max="6400" width="37" style="500" customWidth="1"/>
    <col min="6401" max="6401" width="7.28515625" style="500" bestFit="1" customWidth="1"/>
    <col min="6402" max="6403" width="17.140625" style="500" customWidth="1"/>
    <col min="6404" max="6404" width="17.85546875" style="500" customWidth="1"/>
    <col min="6405" max="6405" width="7.42578125" style="500" customWidth="1"/>
    <col min="6406" max="6407" width="0" style="500" hidden="1" customWidth="1"/>
    <col min="6408" max="6408" width="49" style="500" customWidth="1"/>
    <col min="6409" max="6409" width="31.28515625" style="500" customWidth="1"/>
    <col min="6410" max="6410" width="12.28515625" style="500" bestFit="1" customWidth="1"/>
    <col min="6411" max="6655" width="11.42578125" style="500"/>
    <col min="6656" max="6656" width="37" style="500" customWidth="1"/>
    <col min="6657" max="6657" width="7.28515625" style="500" bestFit="1" customWidth="1"/>
    <col min="6658" max="6659" width="17.140625" style="500" customWidth="1"/>
    <col min="6660" max="6660" width="17.85546875" style="500" customWidth="1"/>
    <col min="6661" max="6661" width="7.42578125" style="500" customWidth="1"/>
    <col min="6662" max="6663" width="0" style="500" hidden="1" customWidth="1"/>
    <col min="6664" max="6664" width="49" style="500" customWidth="1"/>
    <col min="6665" max="6665" width="31.28515625" style="500" customWidth="1"/>
    <col min="6666" max="6666" width="12.28515625" style="500" bestFit="1" customWidth="1"/>
    <col min="6667" max="6911" width="11.42578125" style="500"/>
    <col min="6912" max="6912" width="37" style="500" customWidth="1"/>
    <col min="6913" max="6913" width="7.28515625" style="500" bestFit="1" customWidth="1"/>
    <col min="6914" max="6915" width="17.140625" style="500" customWidth="1"/>
    <col min="6916" max="6916" width="17.85546875" style="500" customWidth="1"/>
    <col min="6917" max="6917" width="7.42578125" style="500" customWidth="1"/>
    <col min="6918" max="6919" width="0" style="500" hidden="1" customWidth="1"/>
    <col min="6920" max="6920" width="49" style="500" customWidth="1"/>
    <col min="6921" max="6921" width="31.28515625" style="500" customWidth="1"/>
    <col min="6922" max="6922" width="12.28515625" style="500" bestFit="1" customWidth="1"/>
    <col min="6923" max="7167" width="11.42578125" style="500"/>
    <col min="7168" max="7168" width="37" style="500" customWidth="1"/>
    <col min="7169" max="7169" width="7.28515625" style="500" bestFit="1" customWidth="1"/>
    <col min="7170" max="7171" width="17.140625" style="500" customWidth="1"/>
    <col min="7172" max="7172" width="17.85546875" style="500" customWidth="1"/>
    <col min="7173" max="7173" width="7.42578125" style="500" customWidth="1"/>
    <col min="7174" max="7175" width="0" style="500" hidden="1" customWidth="1"/>
    <col min="7176" max="7176" width="49" style="500" customWidth="1"/>
    <col min="7177" max="7177" width="31.28515625" style="500" customWidth="1"/>
    <col min="7178" max="7178" width="12.28515625" style="500" bestFit="1" customWidth="1"/>
    <col min="7179" max="7423" width="11.42578125" style="500"/>
    <col min="7424" max="7424" width="37" style="500" customWidth="1"/>
    <col min="7425" max="7425" width="7.28515625" style="500" bestFit="1" customWidth="1"/>
    <col min="7426" max="7427" width="17.140625" style="500" customWidth="1"/>
    <col min="7428" max="7428" width="17.85546875" style="500" customWidth="1"/>
    <col min="7429" max="7429" width="7.42578125" style="500" customWidth="1"/>
    <col min="7430" max="7431" width="0" style="500" hidden="1" customWidth="1"/>
    <col min="7432" max="7432" width="49" style="500" customWidth="1"/>
    <col min="7433" max="7433" width="31.28515625" style="500" customWidth="1"/>
    <col min="7434" max="7434" width="12.28515625" style="500" bestFit="1" customWidth="1"/>
    <col min="7435" max="7679" width="11.42578125" style="500"/>
    <col min="7680" max="7680" width="37" style="500" customWidth="1"/>
    <col min="7681" max="7681" width="7.28515625" style="500" bestFit="1" customWidth="1"/>
    <col min="7682" max="7683" width="17.140625" style="500" customWidth="1"/>
    <col min="7684" max="7684" width="17.85546875" style="500" customWidth="1"/>
    <col min="7685" max="7685" width="7.42578125" style="500" customWidth="1"/>
    <col min="7686" max="7687" width="0" style="500" hidden="1" customWidth="1"/>
    <col min="7688" max="7688" width="49" style="500" customWidth="1"/>
    <col min="7689" max="7689" width="31.28515625" style="500" customWidth="1"/>
    <col min="7690" max="7690" width="12.28515625" style="500" bestFit="1" customWidth="1"/>
    <col min="7691" max="7935" width="11.42578125" style="500"/>
    <col min="7936" max="7936" width="37" style="500" customWidth="1"/>
    <col min="7937" max="7937" width="7.28515625" style="500" bestFit="1" customWidth="1"/>
    <col min="7938" max="7939" width="17.140625" style="500" customWidth="1"/>
    <col min="7940" max="7940" width="17.85546875" style="500" customWidth="1"/>
    <col min="7941" max="7941" width="7.42578125" style="500" customWidth="1"/>
    <col min="7942" max="7943" width="0" style="500" hidden="1" customWidth="1"/>
    <col min="7944" max="7944" width="49" style="500" customWidth="1"/>
    <col min="7945" max="7945" width="31.28515625" style="500" customWidth="1"/>
    <col min="7946" max="7946" width="12.28515625" style="500" bestFit="1" customWidth="1"/>
    <col min="7947" max="8191" width="11.42578125" style="500"/>
    <col min="8192" max="8192" width="37" style="500" customWidth="1"/>
    <col min="8193" max="8193" width="7.28515625" style="500" bestFit="1" customWidth="1"/>
    <col min="8194" max="8195" width="17.140625" style="500" customWidth="1"/>
    <col min="8196" max="8196" width="17.85546875" style="500" customWidth="1"/>
    <col min="8197" max="8197" width="7.42578125" style="500" customWidth="1"/>
    <col min="8198" max="8199" width="0" style="500" hidden="1" customWidth="1"/>
    <col min="8200" max="8200" width="49" style="500" customWidth="1"/>
    <col min="8201" max="8201" width="31.28515625" style="500" customWidth="1"/>
    <col min="8202" max="8202" width="12.28515625" style="500" bestFit="1" customWidth="1"/>
    <col min="8203" max="8447" width="11.42578125" style="500"/>
    <col min="8448" max="8448" width="37" style="500" customWidth="1"/>
    <col min="8449" max="8449" width="7.28515625" style="500" bestFit="1" customWidth="1"/>
    <col min="8450" max="8451" width="17.140625" style="500" customWidth="1"/>
    <col min="8452" max="8452" width="17.85546875" style="500" customWidth="1"/>
    <col min="8453" max="8453" width="7.42578125" style="500" customWidth="1"/>
    <col min="8454" max="8455" width="0" style="500" hidden="1" customWidth="1"/>
    <col min="8456" max="8456" width="49" style="500" customWidth="1"/>
    <col min="8457" max="8457" width="31.28515625" style="500" customWidth="1"/>
    <col min="8458" max="8458" width="12.28515625" style="500" bestFit="1" customWidth="1"/>
    <col min="8459" max="8703" width="11.42578125" style="500"/>
    <col min="8704" max="8704" width="37" style="500" customWidth="1"/>
    <col min="8705" max="8705" width="7.28515625" style="500" bestFit="1" customWidth="1"/>
    <col min="8706" max="8707" width="17.140625" style="500" customWidth="1"/>
    <col min="8708" max="8708" width="17.85546875" style="500" customWidth="1"/>
    <col min="8709" max="8709" width="7.42578125" style="500" customWidth="1"/>
    <col min="8710" max="8711" width="0" style="500" hidden="1" customWidth="1"/>
    <col min="8712" max="8712" width="49" style="500" customWidth="1"/>
    <col min="8713" max="8713" width="31.28515625" style="500" customWidth="1"/>
    <col min="8714" max="8714" width="12.28515625" style="500" bestFit="1" customWidth="1"/>
    <col min="8715" max="8959" width="11.42578125" style="500"/>
    <col min="8960" max="8960" width="37" style="500" customWidth="1"/>
    <col min="8961" max="8961" width="7.28515625" style="500" bestFit="1" customWidth="1"/>
    <col min="8962" max="8963" width="17.140625" style="500" customWidth="1"/>
    <col min="8964" max="8964" width="17.85546875" style="500" customWidth="1"/>
    <col min="8965" max="8965" width="7.42578125" style="500" customWidth="1"/>
    <col min="8966" max="8967" width="0" style="500" hidden="1" customWidth="1"/>
    <col min="8968" max="8968" width="49" style="500" customWidth="1"/>
    <col min="8969" max="8969" width="31.28515625" style="500" customWidth="1"/>
    <col min="8970" max="8970" width="12.28515625" style="500" bestFit="1" customWidth="1"/>
    <col min="8971" max="9215" width="11.42578125" style="500"/>
    <col min="9216" max="9216" width="37" style="500" customWidth="1"/>
    <col min="9217" max="9217" width="7.28515625" style="500" bestFit="1" customWidth="1"/>
    <col min="9218" max="9219" width="17.140625" style="500" customWidth="1"/>
    <col min="9220" max="9220" width="17.85546875" style="500" customWidth="1"/>
    <col min="9221" max="9221" width="7.42578125" style="500" customWidth="1"/>
    <col min="9222" max="9223" width="0" style="500" hidden="1" customWidth="1"/>
    <col min="9224" max="9224" width="49" style="500" customWidth="1"/>
    <col min="9225" max="9225" width="31.28515625" style="500" customWidth="1"/>
    <col min="9226" max="9226" width="12.28515625" style="500" bestFit="1" customWidth="1"/>
    <col min="9227" max="9471" width="11.42578125" style="500"/>
    <col min="9472" max="9472" width="37" style="500" customWidth="1"/>
    <col min="9473" max="9473" width="7.28515625" style="500" bestFit="1" customWidth="1"/>
    <col min="9474" max="9475" width="17.140625" style="500" customWidth="1"/>
    <col min="9476" max="9476" width="17.85546875" style="500" customWidth="1"/>
    <col min="9477" max="9477" width="7.42578125" style="500" customWidth="1"/>
    <col min="9478" max="9479" width="0" style="500" hidden="1" customWidth="1"/>
    <col min="9480" max="9480" width="49" style="500" customWidth="1"/>
    <col min="9481" max="9481" width="31.28515625" style="500" customWidth="1"/>
    <col min="9482" max="9482" width="12.28515625" style="500" bestFit="1" customWidth="1"/>
    <col min="9483" max="9727" width="11.42578125" style="500"/>
    <col min="9728" max="9728" width="37" style="500" customWidth="1"/>
    <col min="9729" max="9729" width="7.28515625" style="500" bestFit="1" customWidth="1"/>
    <col min="9730" max="9731" width="17.140625" style="500" customWidth="1"/>
    <col min="9732" max="9732" width="17.85546875" style="500" customWidth="1"/>
    <col min="9733" max="9733" width="7.42578125" style="500" customWidth="1"/>
    <col min="9734" max="9735" width="0" style="500" hidden="1" customWidth="1"/>
    <col min="9736" max="9736" width="49" style="500" customWidth="1"/>
    <col min="9737" max="9737" width="31.28515625" style="500" customWidth="1"/>
    <col min="9738" max="9738" width="12.28515625" style="500" bestFit="1" customWidth="1"/>
    <col min="9739" max="9983" width="11.42578125" style="500"/>
    <col min="9984" max="9984" width="37" style="500" customWidth="1"/>
    <col min="9985" max="9985" width="7.28515625" style="500" bestFit="1" customWidth="1"/>
    <col min="9986" max="9987" width="17.140625" style="500" customWidth="1"/>
    <col min="9988" max="9988" width="17.85546875" style="500" customWidth="1"/>
    <col min="9989" max="9989" width="7.42578125" style="500" customWidth="1"/>
    <col min="9990" max="9991" width="0" style="500" hidden="1" customWidth="1"/>
    <col min="9992" max="9992" width="49" style="500" customWidth="1"/>
    <col min="9993" max="9993" width="31.28515625" style="500" customWidth="1"/>
    <col min="9994" max="9994" width="12.28515625" style="500" bestFit="1" customWidth="1"/>
    <col min="9995" max="10239" width="11.42578125" style="500"/>
    <col min="10240" max="10240" width="37" style="500" customWidth="1"/>
    <col min="10241" max="10241" width="7.28515625" style="500" bestFit="1" customWidth="1"/>
    <col min="10242" max="10243" width="17.140625" style="500" customWidth="1"/>
    <col min="10244" max="10244" width="17.85546875" style="500" customWidth="1"/>
    <col min="10245" max="10245" width="7.42578125" style="500" customWidth="1"/>
    <col min="10246" max="10247" width="0" style="500" hidden="1" customWidth="1"/>
    <col min="10248" max="10248" width="49" style="500" customWidth="1"/>
    <col min="10249" max="10249" width="31.28515625" style="500" customWidth="1"/>
    <col min="10250" max="10250" width="12.28515625" style="500" bestFit="1" customWidth="1"/>
    <col min="10251" max="10495" width="11.42578125" style="500"/>
    <col min="10496" max="10496" width="37" style="500" customWidth="1"/>
    <col min="10497" max="10497" width="7.28515625" style="500" bestFit="1" customWidth="1"/>
    <col min="10498" max="10499" width="17.140625" style="500" customWidth="1"/>
    <col min="10500" max="10500" width="17.85546875" style="500" customWidth="1"/>
    <col min="10501" max="10501" width="7.42578125" style="500" customWidth="1"/>
    <col min="10502" max="10503" width="0" style="500" hidden="1" customWidth="1"/>
    <col min="10504" max="10504" width="49" style="500" customWidth="1"/>
    <col min="10505" max="10505" width="31.28515625" style="500" customWidth="1"/>
    <col min="10506" max="10506" width="12.28515625" style="500" bestFit="1" customWidth="1"/>
    <col min="10507" max="10751" width="11.42578125" style="500"/>
    <col min="10752" max="10752" width="37" style="500" customWidth="1"/>
    <col min="10753" max="10753" width="7.28515625" style="500" bestFit="1" customWidth="1"/>
    <col min="10754" max="10755" width="17.140625" style="500" customWidth="1"/>
    <col min="10756" max="10756" width="17.85546875" style="500" customWidth="1"/>
    <col min="10757" max="10757" width="7.42578125" style="500" customWidth="1"/>
    <col min="10758" max="10759" width="0" style="500" hidden="1" customWidth="1"/>
    <col min="10760" max="10760" width="49" style="500" customWidth="1"/>
    <col min="10761" max="10761" width="31.28515625" style="500" customWidth="1"/>
    <col min="10762" max="10762" width="12.28515625" style="500" bestFit="1" customWidth="1"/>
    <col min="10763" max="11007" width="11.42578125" style="500"/>
    <col min="11008" max="11008" width="37" style="500" customWidth="1"/>
    <col min="11009" max="11009" width="7.28515625" style="500" bestFit="1" customWidth="1"/>
    <col min="11010" max="11011" width="17.140625" style="500" customWidth="1"/>
    <col min="11012" max="11012" width="17.85546875" style="500" customWidth="1"/>
    <col min="11013" max="11013" width="7.42578125" style="500" customWidth="1"/>
    <col min="11014" max="11015" width="0" style="500" hidden="1" customWidth="1"/>
    <col min="11016" max="11016" width="49" style="500" customWidth="1"/>
    <col min="11017" max="11017" width="31.28515625" style="500" customWidth="1"/>
    <col min="11018" max="11018" width="12.28515625" style="500" bestFit="1" customWidth="1"/>
    <col min="11019" max="11263" width="11.42578125" style="500"/>
    <col min="11264" max="11264" width="37" style="500" customWidth="1"/>
    <col min="11265" max="11265" width="7.28515625" style="500" bestFit="1" customWidth="1"/>
    <col min="11266" max="11267" width="17.140625" style="500" customWidth="1"/>
    <col min="11268" max="11268" width="17.85546875" style="500" customWidth="1"/>
    <col min="11269" max="11269" width="7.42578125" style="500" customWidth="1"/>
    <col min="11270" max="11271" width="0" style="500" hidden="1" customWidth="1"/>
    <col min="11272" max="11272" width="49" style="500" customWidth="1"/>
    <col min="11273" max="11273" width="31.28515625" style="500" customWidth="1"/>
    <col min="11274" max="11274" width="12.28515625" style="500" bestFit="1" customWidth="1"/>
    <col min="11275" max="11519" width="11.42578125" style="500"/>
    <col min="11520" max="11520" width="37" style="500" customWidth="1"/>
    <col min="11521" max="11521" width="7.28515625" style="500" bestFit="1" customWidth="1"/>
    <col min="11522" max="11523" width="17.140625" style="500" customWidth="1"/>
    <col min="11524" max="11524" width="17.85546875" style="500" customWidth="1"/>
    <col min="11525" max="11525" width="7.42578125" style="500" customWidth="1"/>
    <col min="11526" max="11527" width="0" style="500" hidden="1" customWidth="1"/>
    <col min="11528" max="11528" width="49" style="500" customWidth="1"/>
    <col min="11529" max="11529" width="31.28515625" style="500" customWidth="1"/>
    <col min="11530" max="11530" width="12.28515625" style="500" bestFit="1" customWidth="1"/>
    <col min="11531" max="11775" width="11.42578125" style="500"/>
    <col min="11776" max="11776" width="37" style="500" customWidth="1"/>
    <col min="11777" max="11777" width="7.28515625" style="500" bestFit="1" customWidth="1"/>
    <col min="11778" max="11779" width="17.140625" style="500" customWidth="1"/>
    <col min="11780" max="11780" width="17.85546875" style="500" customWidth="1"/>
    <col min="11781" max="11781" width="7.42578125" style="500" customWidth="1"/>
    <col min="11782" max="11783" width="0" style="500" hidden="1" customWidth="1"/>
    <col min="11784" max="11784" width="49" style="500" customWidth="1"/>
    <col min="11785" max="11785" width="31.28515625" style="500" customWidth="1"/>
    <col min="11786" max="11786" width="12.28515625" style="500" bestFit="1" customWidth="1"/>
    <col min="11787" max="12031" width="11.42578125" style="500"/>
    <col min="12032" max="12032" width="37" style="500" customWidth="1"/>
    <col min="12033" max="12033" width="7.28515625" style="500" bestFit="1" customWidth="1"/>
    <col min="12034" max="12035" width="17.140625" style="500" customWidth="1"/>
    <col min="12036" max="12036" width="17.85546875" style="500" customWidth="1"/>
    <col min="12037" max="12037" width="7.42578125" style="500" customWidth="1"/>
    <col min="12038" max="12039" width="0" style="500" hidden="1" customWidth="1"/>
    <col min="12040" max="12040" width="49" style="500" customWidth="1"/>
    <col min="12041" max="12041" width="31.28515625" style="500" customWidth="1"/>
    <col min="12042" max="12042" width="12.28515625" style="500" bestFit="1" customWidth="1"/>
    <col min="12043" max="12287" width="11.42578125" style="500"/>
    <col min="12288" max="12288" width="37" style="500" customWidth="1"/>
    <col min="12289" max="12289" width="7.28515625" style="500" bestFit="1" customWidth="1"/>
    <col min="12290" max="12291" width="17.140625" style="500" customWidth="1"/>
    <col min="12292" max="12292" width="17.85546875" style="500" customWidth="1"/>
    <col min="12293" max="12293" width="7.42578125" style="500" customWidth="1"/>
    <col min="12294" max="12295" width="0" style="500" hidden="1" customWidth="1"/>
    <col min="12296" max="12296" width="49" style="500" customWidth="1"/>
    <col min="12297" max="12297" width="31.28515625" style="500" customWidth="1"/>
    <col min="12298" max="12298" width="12.28515625" style="500" bestFit="1" customWidth="1"/>
    <col min="12299" max="12543" width="11.42578125" style="500"/>
    <col min="12544" max="12544" width="37" style="500" customWidth="1"/>
    <col min="12545" max="12545" width="7.28515625" style="500" bestFit="1" customWidth="1"/>
    <col min="12546" max="12547" width="17.140625" style="500" customWidth="1"/>
    <col min="12548" max="12548" width="17.85546875" style="500" customWidth="1"/>
    <col min="12549" max="12549" width="7.42578125" style="500" customWidth="1"/>
    <col min="12550" max="12551" width="0" style="500" hidden="1" customWidth="1"/>
    <col min="12552" max="12552" width="49" style="500" customWidth="1"/>
    <col min="12553" max="12553" width="31.28515625" style="500" customWidth="1"/>
    <col min="12554" max="12554" width="12.28515625" style="500" bestFit="1" customWidth="1"/>
    <col min="12555" max="12799" width="11.42578125" style="500"/>
    <col min="12800" max="12800" width="37" style="500" customWidth="1"/>
    <col min="12801" max="12801" width="7.28515625" style="500" bestFit="1" customWidth="1"/>
    <col min="12802" max="12803" width="17.140625" style="500" customWidth="1"/>
    <col min="12804" max="12804" width="17.85546875" style="500" customWidth="1"/>
    <col min="12805" max="12805" width="7.42578125" style="500" customWidth="1"/>
    <col min="12806" max="12807" width="0" style="500" hidden="1" customWidth="1"/>
    <col min="12808" max="12808" width="49" style="500" customWidth="1"/>
    <col min="12809" max="12809" width="31.28515625" style="500" customWidth="1"/>
    <col min="12810" max="12810" width="12.28515625" style="500" bestFit="1" customWidth="1"/>
    <col min="12811" max="13055" width="11.42578125" style="500"/>
    <col min="13056" max="13056" width="37" style="500" customWidth="1"/>
    <col min="13057" max="13057" width="7.28515625" style="500" bestFit="1" customWidth="1"/>
    <col min="13058" max="13059" width="17.140625" style="500" customWidth="1"/>
    <col min="13060" max="13060" width="17.85546875" style="500" customWidth="1"/>
    <col min="13061" max="13061" width="7.42578125" style="500" customWidth="1"/>
    <col min="13062" max="13063" width="0" style="500" hidden="1" customWidth="1"/>
    <col min="13064" max="13064" width="49" style="500" customWidth="1"/>
    <col min="13065" max="13065" width="31.28515625" style="500" customWidth="1"/>
    <col min="13066" max="13066" width="12.28515625" style="500" bestFit="1" customWidth="1"/>
    <col min="13067" max="13311" width="11.42578125" style="500"/>
    <col min="13312" max="13312" width="37" style="500" customWidth="1"/>
    <col min="13313" max="13313" width="7.28515625" style="500" bestFit="1" customWidth="1"/>
    <col min="13314" max="13315" width="17.140625" style="500" customWidth="1"/>
    <col min="13316" max="13316" width="17.85546875" style="500" customWidth="1"/>
    <col min="13317" max="13317" width="7.42578125" style="500" customWidth="1"/>
    <col min="13318" max="13319" width="0" style="500" hidden="1" customWidth="1"/>
    <col min="13320" max="13320" width="49" style="500" customWidth="1"/>
    <col min="13321" max="13321" width="31.28515625" style="500" customWidth="1"/>
    <col min="13322" max="13322" width="12.28515625" style="500" bestFit="1" customWidth="1"/>
    <col min="13323" max="13567" width="11.42578125" style="500"/>
    <col min="13568" max="13568" width="37" style="500" customWidth="1"/>
    <col min="13569" max="13569" width="7.28515625" style="500" bestFit="1" customWidth="1"/>
    <col min="13570" max="13571" width="17.140625" style="500" customWidth="1"/>
    <col min="13572" max="13572" width="17.85546875" style="500" customWidth="1"/>
    <col min="13573" max="13573" width="7.42578125" style="500" customWidth="1"/>
    <col min="13574" max="13575" width="0" style="500" hidden="1" customWidth="1"/>
    <col min="13576" max="13576" width="49" style="500" customWidth="1"/>
    <col min="13577" max="13577" width="31.28515625" style="500" customWidth="1"/>
    <col min="13578" max="13578" width="12.28515625" style="500" bestFit="1" customWidth="1"/>
    <col min="13579" max="13823" width="11.42578125" style="500"/>
    <col min="13824" max="13824" width="37" style="500" customWidth="1"/>
    <col min="13825" max="13825" width="7.28515625" style="500" bestFit="1" customWidth="1"/>
    <col min="13826" max="13827" width="17.140625" style="500" customWidth="1"/>
    <col min="13828" max="13828" width="17.85546875" style="500" customWidth="1"/>
    <col min="13829" max="13829" width="7.42578125" style="500" customWidth="1"/>
    <col min="13830" max="13831" width="0" style="500" hidden="1" customWidth="1"/>
    <col min="13832" max="13832" width="49" style="500" customWidth="1"/>
    <col min="13833" max="13833" width="31.28515625" style="500" customWidth="1"/>
    <col min="13834" max="13834" width="12.28515625" style="500" bestFit="1" customWidth="1"/>
    <col min="13835" max="14079" width="11.42578125" style="500"/>
    <col min="14080" max="14080" width="37" style="500" customWidth="1"/>
    <col min="14081" max="14081" width="7.28515625" style="500" bestFit="1" customWidth="1"/>
    <col min="14082" max="14083" width="17.140625" style="500" customWidth="1"/>
    <col min="14084" max="14084" width="17.85546875" style="500" customWidth="1"/>
    <col min="14085" max="14085" width="7.42578125" style="500" customWidth="1"/>
    <col min="14086" max="14087" width="0" style="500" hidden="1" customWidth="1"/>
    <col min="14088" max="14088" width="49" style="500" customWidth="1"/>
    <col min="14089" max="14089" width="31.28515625" style="500" customWidth="1"/>
    <col min="14090" max="14090" width="12.28515625" style="500" bestFit="1" customWidth="1"/>
    <col min="14091" max="14335" width="11.42578125" style="500"/>
    <col min="14336" max="14336" width="37" style="500" customWidth="1"/>
    <col min="14337" max="14337" width="7.28515625" style="500" bestFit="1" customWidth="1"/>
    <col min="14338" max="14339" width="17.140625" style="500" customWidth="1"/>
    <col min="14340" max="14340" width="17.85546875" style="500" customWidth="1"/>
    <col min="14341" max="14341" width="7.42578125" style="500" customWidth="1"/>
    <col min="14342" max="14343" width="0" style="500" hidden="1" customWidth="1"/>
    <col min="14344" max="14344" width="49" style="500" customWidth="1"/>
    <col min="14345" max="14345" width="31.28515625" style="500" customWidth="1"/>
    <col min="14346" max="14346" width="12.28515625" style="500" bestFit="1" customWidth="1"/>
    <col min="14347" max="14591" width="11.42578125" style="500"/>
    <col min="14592" max="14592" width="37" style="500" customWidth="1"/>
    <col min="14593" max="14593" width="7.28515625" style="500" bestFit="1" customWidth="1"/>
    <col min="14594" max="14595" width="17.140625" style="500" customWidth="1"/>
    <col min="14596" max="14596" width="17.85546875" style="500" customWidth="1"/>
    <col min="14597" max="14597" width="7.42578125" style="500" customWidth="1"/>
    <col min="14598" max="14599" width="0" style="500" hidden="1" customWidth="1"/>
    <col min="14600" max="14600" width="49" style="500" customWidth="1"/>
    <col min="14601" max="14601" width="31.28515625" style="500" customWidth="1"/>
    <col min="14602" max="14602" width="12.28515625" style="500" bestFit="1" customWidth="1"/>
    <col min="14603" max="14847" width="11.42578125" style="500"/>
    <col min="14848" max="14848" width="37" style="500" customWidth="1"/>
    <col min="14849" max="14849" width="7.28515625" style="500" bestFit="1" customWidth="1"/>
    <col min="14850" max="14851" width="17.140625" style="500" customWidth="1"/>
    <col min="14852" max="14852" width="17.85546875" style="500" customWidth="1"/>
    <col min="14853" max="14853" width="7.42578125" style="500" customWidth="1"/>
    <col min="14854" max="14855" width="0" style="500" hidden="1" customWidth="1"/>
    <col min="14856" max="14856" width="49" style="500" customWidth="1"/>
    <col min="14857" max="14857" width="31.28515625" style="500" customWidth="1"/>
    <col min="14858" max="14858" width="12.28515625" style="500" bestFit="1" customWidth="1"/>
    <col min="14859" max="15103" width="11.42578125" style="500"/>
    <col min="15104" max="15104" width="37" style="500" customWidth="1"/>
    <col min="15105" max="15105" width="7.28515625" style="500" bestFit="1" customWidth="1"/>
    <col min="15106" max="15107" width="17.140625" style="500" customWidth="1"/>
    <col min="15108" max="15108" width="17.85546875" style="500" customWidth="1"/>
    <col min="15109" max="15109" width="7.42578125" style="500" customWidth="1"/>
    <col min="15110" max="15111" width="0" style="500" hidden="1" customWidth="1"/>
    <col min="15112" max="15112" width="49" style="500" customWidth="1"/>
    <col min="15113" max="15113" width="31.28515625" style="500" customWidth="1"/>
    <col min="15114" max="15114" width="12.28515625" style="500" bestFit="1" customWidth="1"/>
    <col min="15115" max="15359" width="11.42578125" style="500"/>
    <col min="15360" max="15360" width="37" style="500" customWidth="1"/>
    <col min="15361" max="15361" width="7.28515625" style="500" bestFit="1" customWidth="1"/>
    <col min="15362" max="15363" width="17.140625" style="500" customWidth="1"/>
    <col min="15364" max="15364" width="17.85546875" style="500" customWidth="1"/>
    <col min="15365" max="15365" width="7.42578125" style="500" customWidth="1"/>
    <col min="15366" max="15367" width="0" style="500" hidden="1" customWidth="1"/>
    <col min="15368" max="15368" width="49" style="500" customWidth="1"/>
    <col min="15369" max="15369" width="31.28515625" style="500" customWidth="1"/>
    <col min="15370" max="15370" width="12.28515625" style="500" bestFit="1" customWidth="1"/>
    <col min="15371" max="15615" width="11.42578125" style="500"/>
    <col min="15616" max="15616" width="37" style="500" customWidth="1"/>
    <col min="15617" max="15617" width="7.28515625" style="500" bestFit="1" customWidth="1"/>
    <col min="15618" max="15619" width="17.140625" style="500" customWidth="1"/>
    <col min="15620" max="15620" width="17.85546875" style="500" customWidth="1"/>
    <col min="15621" max="15621" width="7.42578125" style="500" customWidth="1"/>
    <col min="15622" max="15623" width="0" style="500" hidden="1" customWidth="1"/>
    <col min="15624" max="15624" width="49" style="500" customWidth="1"/>
    <col min="15625" max="15625" width="31.28515625" style="500" customWidth="1"/>
    <col min="15626" max="15626" width="12.28515625" style="500" bestFit="1" customWidth="1"/>
    <col min="15627" max="15871" width="11.42578125" style="500"/>
    <col min="15872" max="15872" width="37" style="500" customWidth="1"/>
    <col min="15873" max="15873" width="7.28515625" style="500" bestFit="1" customWidth="1"/>
    <col min="15874" max="15875" width="17.140625" style="500" customWidth="1"/>
    <col min="15876" max="15876" width="17.85546875" style="500" customWidth="1"/>
    <col min="15877" max="15877" width="7.42578125" style="500" customWidth="1"/>
    <col min="15878" max="15879" width="0" style="500" hidden="1" customWidth="1"/>
    <col min="15880" max="15880" width="49" style="500" customWidth="1"/>
    <col min="15881" max="15881" width="31.28515625" style="500" customWidth="1"/>
    <col min="15882" max="15882" width="12.28515625" style="500" bestFit="1" customWidth="1"/>
    <col min="15883" max="16127" width="11.42578125" style="500"/>
    <col min="16128" max="16128" width="37" style="500" customWidth="1"/>
    <col min="16129" max="16129" width="7.28515625" style="500" bestFit="1" customWidth="1"/>
    <col min="16130" max="16131" width="17.140625" style="500" customWidth="1"/>
    <col min="16132" max="16132" width="17.85546875" style="500" customWidth="1"/>
    <col min="16133" max="16133" width="7.42578125" style="500" customWidth="1"/>
    <col min="16134" max="16135" width="0" style="500" hidden="1" customWidth="1"/>
    <col min="16136" max="16136" width="49" style="500" customWidth="1"/>
    <col min="16137" max="16137" width="31.28515625" style="500" customWidth="1"/>
    <col min="16138" max="16138" width="12.28515625" style="500" bestFit="1" customWidth="1"/>
    <col min="16139" max="16384" width="11.42578125" style="500"/>
  </cols>
  <sheetData>
    <row r="1" spans="1:10">
      <c r="A1" s="499" t="s">
        <v>49</v>
      </c>
      <c r="B1" s="499"/>
      <c r="C1" s="499"/>
      <c r="D1" s="499"/>
    </row>
    <row r="2" spans="1:10">
      <c r="A2" s="499" t="s">
        <v>50</v>
      </c>
      <c r="B2" s="499"/>
      <c r="C2" s="499"/>
      <c r="D2" s="499"/>
    </row>
    <row r="3" spans="1:10">
      <c r="A3" s="855" t="s">
        <v>366</v>
      </c>
      <c r="B3" s="855"/>
      <c r="C3" s="855"/>
      <c r="D3" s="855"/>
      <c r="E3" s="855"/>
    </row>
    <row r="4" spans="1:10">
      <c r="A4" s="855" t="s">
        <v>52</v>
      </c>
      <c r="B4" s="855"/>
      <c r="C4" s="855"/>
      <c r="D4" s="855"/>
      <c r="E4" s="855"/>
    </row>
    <row r="5" spans="1:10">
      <c r="A5" s="50"/>
      <c r="B5" s="390"/>
      <c r="C5" s="390"/>
      <c r="D5" s="391"/>
      <c r="E5" s="391"/>
    </row>
    <row r="6" spans="1:10">
      <c r="B6" s="390">
        <v>43831</v>
      </c>
      <c r="C6" s="390">
        <v>43800</v>
      </c>
      <c r="D6" s="501" t="s">
        <v>545</v>
      </c>
      <c r="E6" s="501" t="s">
        <v>17</v>
      </c>
      <c r="F6" s="502">
        <v>2009</v>
      </c>
      <c r="G6" s="502">
        <v>2008</v>
      </c>
    </row>
    <row r="7" spans="1:10">
      <c r="A7" s="503" t="s">
        <v>0</v>
      </c>
      <c r="B7" s="504"/>
      <c r="C7" s="504"/>
      <c r="F7" s="504"/>
      <c r="G7" s="504"/>
    </row>
    <row r="8" spans="1:10" s="508" customFormat="1">
      <c r="A8" s="505"/>
      <c r="B8" s="507"/>
      <c r="C8" s="507"/>
      <c r="F8" s="507"/>
      <c r="G8" s="507"/>
    </row>
    <row r="9" spans="1:10" s="508" customFormat="1" ht="19.5" customHeight="1">
      <c r="A9" s="509" t="s">
        <v>55</v>
      </c>
      <c r="B9" s="511">
        <f>SUM(B10:B11)</f>
        <v>141665451.90999985</v>
      </c>
      <c r="C9" s="511">
        <f>SUM(C10:C11)</f>
        <v>127133836.91000032</v>
      </c>
      <c r="D9" s="511">
        <f>SUM(D10:D11)</f>
        <v>14531614.999999523</v>
      </c>
      <c r="E9" s="512">
        <f>+B9/C9-1</f>
        <v>0.1143017103329198</v>
      </c>
      <c r="F9" s="511">
        <f>SUM(F10:F11)</f>
        <v>0</v>
      </c>
      <c r="G9" s="511">
        <f>SUM(G10:G11)</f>
        <v>0</v>
      </c>
      <c r="H9" s="389"/>
      <c r="I9" s="514"/>
    </row>
    <row r="10" spans="1:10" s="508" customFormat="1" ht="15.75">
      <c r="A10" s="513" t="s">
        <v>56</v>
      </c>
      <c r="B10" s="514">
        <v>600000</v>
      </c>
      <c r="C10" s="514">
        <v>600000</v>
      </c>
      <c r="D10" s="515">
        <f>+B10-C10</f>
        <v>0</v>
      </c>
      <c r="E10" s="516">
        <f>IF(C10=0,0,D10/C10)</f>
        <v>0</v>
      </c>
      <c r="F10" s="517"/>
      <c r="G10" s="517"/>
      <c r="H10" s="389"/>
      <c r="I10" s="514"/>
    </row>
    <row r="11" spans="1:10" s="508" customFormat="1" ht="15.75">
      <c r="A11" s="513" t="s">
        <v>1</v>
      </c>
      <c r="B11" s="514">
        <v>141065451.90999985</v>
      </c>
      <c r="C11" s="514">
        <v>126533836.91000032</v>
      </c>
      <c r="D11" s="515">
        <f>+B11-C11</f>
        <v>14531614.999999523</v>
      </c>
      <c r="E11" s="516">
        <f>IF(C11=0,0,D11/C11)</f>
        <v>0.11484370785606872</v>
      </c>
      <c r="F11" s="517"/>
      <c r="G11" s="517"/>
      <c r="H11" s="389"/>
      <c r="I11" s="514"/>
    </row>
    <row r="12" spans="1:10" s="508" customFormat="1" ht="9" customHeight="1">
      <c r="A12" s="513"/>
      <c r="B12" s="518"/>
      <c r="C12" s="518"/>
      <c r="D12" s="515"/>
      <c r="E12" s="519"/>
      <c r="F12" s="518"/>
      <c r="G12" s="518"/>
      <c r="H12" s="389"/>
      <c r="I12" s="514"/>
    </row>
    <row r="13" spans="1:10" s="508" customFormat="1" ht="15.75">
      <c r="A13" s="509" t="s">
        <v>546</v>
      </c>
      <c r="B13" s="520">
        <v>17819290.930000052</v>
      </c>
      <c r="C13" s="520">
        <v>17752188.509999976</v>
      </c>
      <c r="D13" s="511">
        <f>+B13-C13</f>
        <v>67102.420000076294</v>
      </c>
      <c r="E13" s="512">
        <f>+B13/C13-1</f>
        <v>3.7799519739369902E-3</v>
      </c>
      <c r="F13" s="511"/>
      <c r="G13" s="511"/>
      <c r="H13" s="389"/>
      <c r="I13" s="514"/>
      <c r="J13" s="521"/>
    </row>
    <row r="14" spans="1:10" s="508" customFormat="1" ht="15.75">
      <c r="A14" s="513"/>
      <c r="B14" s="518"/>
      <c r="C14" s="518"/>
      <c r="D14" s="522"/>
      <c r="E14" s="519"/>
      <c r="F14" s="518"/>
      <c r="G14" s="518"/>
      <c r="H14" s="389"/>
      <c r="I14" s="514"/>
      <c r="J14" s="521"/>
    </row>
    <row r="15" spans="1:10" s="508" customFormat="1" ht="17.25" customHeight="1">
      <c r="A15" s="509" t="s">
        <v>61</v>
      </c>
      <c r="B15" s="511">
        <f>SUM(B16:B21)</f>
        <v>86355633</v>
      </c>
      <c r="C15" s="511">
        <f>SUM(C16:C21)</f>
        <v>81128068</v>
      </c>
      <c r="D15" s="511">
        <f>SUM(D16:D21)</f>
        <v>5227565</v>
      </c>
      <c r="E15" s="512">
        <f>+B15/C15-1</f>
        <v>6.4435960683791871E-2</v>
      </c>
      <c r="F15" s="511">
        <f>SUM(F16:F19)</f>
        <v>35625500</v>
      </c>
      <c r="G15" s="511">
        <f>SUM(G16:G19)</f>
        <v>30767660</v>
      </c>
      <c r="H15" s="389"/>
      <c r="I15" s="514"/>
      <c r="J15" s="521"/>
    </row>
    <row r="16" spans="1:10" s="508" customFormat="1" ht="15.75">
      <c r="A16" s="513" t="s">
        <v>62</v>
      </c>
      <c r="B16" s="514">
        <v>79397959</v>
      </c>
      <c r="C16" s="514">
        <v>75083344</v>
      </c>
      <c r="D16" s="515">
        <f t="shared" ref="D16:D22" si="0">+B16-C16</f>
        <v>4314615</v>
      </c>
      <c r="E16" s="516">
        <f t="shared" ref="E16:E21" si="1">IF(C16=0,0,D16/C16)</f>
        <v>5.7464342557784855E-2</v>
      </c>
      <c r="F16" s="518">
        <v>33892500</v>
      </c>
      <c r="G16" s="518">
        <v>29624680</v>
      </c>
      <c r="H16" s="389"/>
      <c r="I16" s="514"/>
    </row>
    <row r="17" spans="1:10" s="508" customFormat="1" ht="15.75">
      <c r="A17" s="513" t="s">
        <v>63</v>
      </c>
      <c r="B17" s="514">
        <v>3610200</v>
      </c>
      <c r="C17" s="514">
        <v>3610200</v>
      </c>
      <c r="D17" s="515">
        <f t="shared" si="0"/>
        <v>0</v>
      </c>
      <c r="E17" s="516">
        <f t="shared" si="1"/>
        <v>0</v>
      </c>
      <c r="F17" s="518"/>
      <c r="G17" s="518">
        <v>20000</v>
      </c>
      <c r="H17" s="389"/>
      <c r="I17" s="514"/>
    </row>
    <row r="18" spans="1:10" s="508" customFormat="1" ht="15.75">
      <c r="A18" s="523" t="s">
        <v>64</v>
      </c>
      <c r="B18" s="514">
        <f>3978450+8000</f>
        <v>3986450</v>
      </c>
      <c r="C18" s="514">
        <v>2740800</v>
      </c>
      <c r="D18" s="515">
        <f t="shared" si="0"/>
        <v>1245650</v>
      </c>
      <c r="E18" s="516">
        <f t="shared" si="1"/>
        <v>0.45448409223584357</v>
      </c>
      <c r="F18" s="518">
        <f>900000+178000</f>
        <v>1078000</v>
      </c>
      <c r="G18" s="518">
        <v>420000</v>
      </c>
      <c r="H18" s="389"/>
      <c r="I18" s="514"/>
    </row>
    <row r="19" spans="1:10" s="508" customFormat="1" ht="15.75">
      <c r="A19" s="513" t="s">
        <v>547</v>
      </c>
      <c r="B19" s="514">
        <f>1867100+4000+33100+270000</f>
        <v>2174200</v>
      </c>
      <c r="C19" s="514">
        <v>2797900</v>
      </c>
      <c r="D19" s="515">
        <f t="shared" si="0"/>
        <v>-623700</v>
      </c>
      <c r="E19" s="516">
        <f t="shared" si="1"/>
        <v>-0.22291718789091819</v>
      </c>
      <c r="F19" s="518">
        <f>162000+206000+287000</f>
        <v>655000</v>
      </c>
      <c r="G19" s="518">
        <f>632000+70980</f>
        <v>702980</v>
      </c>
      <c r="H19" s="389"/>
      <c r="I19" s="514"/>
    </row>
    <row r="20" spans="1:10" s="508" customFormat="1" ht="15.75">
      <c r="A20" s="513" t="s">
        <v>65</v>
      </c>
      <c r="B20" s="514"/>
      <c r="C20" s="514"/>
      <c r="D20" s="515">
        <f t="shared" si="0"/>
        <v>0</v>
      </c>
      <c r="E20" s="516">
        <f t="shared" si="1"/>
        <v>0</v>
      </c>
      <c r="F20" s="518"/>
      <c r="G20" s="518"/>
      <c r="H20" s="389"/>
      <c r="I20" s="514"/>
    </row>
    <row r="21" spans="1:10" s="508" customFormat="1" ht="15.75">
      <c r="A21" s="513" t="s">
        <v>66</v>
      </c>
      <c r="B21" s="514">
        <v>-2813176</v>
      </c>
      <c r="C21" s="514">
        <v>-3104176</v>
      </c>
      <c r="D21" s="515">
        <f t="shared" si="0"/>
        <v>291000</v>
      </c>
      <c r="E21" s="516">
        <f t="shared" si="1"/>
        <v>-9.374468457974032E-2</v>
      </c>
      <c r="F21" s="518"/>
      <c r="G21" s="518"/>
      <c r="H21" s="389"/>
      <c r="I21" s="514"/>
    </row>
    <row r="22" spans="1:10" s="508" customFormat="1" ht="18.75" customHeight="1">
      <c r="A22" s="509" t="s">
        <v>67</v>
      </c>
      <c r="B22" s="520">
        <f>+[3]dic19!B21</f>
        <v>-33680235</v>
      </c>
      <c r="C22" s="520">
        <v>-33680235</v>
      </c>
      <c r="D22" s="511">
        <f t="shared" si="0"/>
        <v>0</v>
      </c>
      <c r="E22" s="512">
        <f>+B22/C22-1</f>
        <v>0</v>
      </c>
      <c r="F22" s="511"/>
      <c r="G22" s="511"/>
      <c r="H22" s="389"/>
      <c r="I22" s="514"/>
    </row>
    <row r="23" spans="1:10" s="508" customFormat="1" ht="18" customHeight="1">
      <c r="A23" s="509" t="s">
        <v>68</v>
      </c>
      <c r="B23" s="511">
        <f>+B24+B25</f>
        <v>5625313</v>
      </c>
      <c r="C23" s="511">
        <f>+C24+C25</f>
        <v>1893733</v>
      </c>
      <c r="D23" s="511">
        <f>+B23-C23</f>
        <v>3731580</v>
      </c>
      <c r="E23" s="512">
        <f>+B23/C23-1</f>
        <v>1.9704889760066493</v>
      </c>
      <c r="F23" s="511">
        <f>+F24+F25</f>
        <v>0</v>
      </c>
      <c r="G23" s="511">
        <f>+G24+G25</f>
        <v>0</v>
      </c>
      <c r="H23" s="389"/>
      <c r="I23" s="514"/>
    </row>
    <row r="24" spans="1:10" s="508" customFormat="1" ht="15.75">
      <c r="A24" s="513" t="s">
        <v>548</v>
      </c>
      <c r="B24" s="514">
        <v>5625313</v>
      </c>
      <c r="C24" s="514">
        <v>1893733</v>
      </c>
      <c r="D24" s="515">
        <f>+B24-C24</f>
        <v>3731580</v>
      </c>
      <c r="E24" s="516">
        <f>IF(C24=0,0,D24/C24)</f>
        <v>1.9704889760066493</v>
      </c>
      <c r="F24" s="518"/>
      <c r="G24" s="518"/>
      <c r="H24" s="389"/>
      <c r="I24" s="514"/>
      <c r="J24" s="521"/>
    </row>
    <row r="25" spans="1:10" s="508" customFormat="1" ht="15.75">
      <c r="A25" s="513" t="s">
        <v>549</v>
      </c>
      <c r="B25" s="514"/>
      <c r="C25" s="514"/>
      <c r="D25" s="515">
        <f>+B25-C25</f>
        <v>0</v>
      </c>
      <c r="E25" s="516">
        <f>IF(C25=0,0,D25/C25)</f>
        <v>0</v>
      </c>
      <c r="F25" s="518"/>
      <c r="G25" s="518"/>
      <c r="H25" s="389"/>
      <c r="I25" s="514"/>
    </row>
    <row r="26" spans="1:10" s="508" customFormat="1" ht="18" customHeight="1">
      <c r="A26" s="509" t="s">
        <v>2</v>
      </c>
      <c r="B26" s="511">
        <f>SUM(B27:B29)</f>
        <v>20370481</v>
      </c>
      <c r="C26" s="511">
        <f>SUM(C27:C29)</f>
        <v>20370481</v>
      </c>
      <c r="D26" s="511">
        <f>SUM(D27:D29)</f>
        <v>0</v>
      </c>
      <c r="E26" s="512">
        <f>+B26/C26-1</f>
        <v>0</v>
      </c>
      <c r="F26" s="511">
        <f>SUM(F27:F29)</f>
        <v>0</v>
      </c>
      <c r="G26" s="511">
        <f>SUM(G27:G29)</f>
        <v>0</v>
      </c>
      <c r="H26" s="389"/>
      <c r="I26" s="514"/>
    </row>
    <row r="27" spans="1:10" s="508" customFormat="1" ht="18" customHeight="1">
      <c r="A27" s="526" t="s">
        <v>73</v>
      </c>
      <c r="B27" s="514">
        <f>+[3]dic19!B26</f>
        <v>2200000</v>
      </c>
      <c r="C27" s="514">
        <v>2200000</v>
      </c>
      <c r="D27" s="515">
        <f>+B27-C27</f>
        <v>0</v>
      </c>
      <c r="E27" s="516">
        <f>IF(C27=0,0,D27/C27)</f>
        <v>0</v>
      </c>
      <c r="F27" s="524"/>
      <c r="G27" s="524"/>
      <c r="H27" s="389"/>
      <c r="I27" s="514"/>
      <c r="J27" s="543"/>
    </row>
    <row r="28" spans="1:10" s="508" customFormat="1" ht="18" customHeight="1">
      <c r="A28" s="526" t="s">
        <v>74</v>
      </c>
      <c r="B28" s="514">
        <f>+[3]dic19!B27</f>
        <v>16403481</v>
      </c>
      <c r="C28" s="514">
        <v>16403481</v>
      </c>
      <c r="D28" s="515">
        <f>+B28-C28</f>
        <v>0</v>
      </c>
      <c r="E28" s="516">
        <f>IF(C28=0,0,D28/C28)</f>
        <v>0</v>
      </c>
      <c r="F28" s="524"/>
      <c r="G28" s="524"/>
      <c r="H28" s="389"/>
      <c r="I28" s="514"/>
    </row>
    <row r="29" spans="1:10" s="508" customFormat="1" ht="15.75">
      <c r="A29" s="513" t="s">
        <v>75</v>
      </c>
      <c r="B29" s="514">
        <f>+[3]dic19!B28</f>
        <v>1767000</v>
      </c>
      <c r="C29" s="514">
        <v>1767000</v>
      </c>
      <c r="D29" s="515">
        <f>+B29-C29</f>
        <v>0</v>
      </c>
      <c r="E29" s="516">
        <f>IF(C29=0,0,D29/C29)</f>
        <v>0</v>
      </c>
      <c r="F29" s="518"/>
      <c r="G29" s="518"/>
      <c r="H29" s="389"/>
      <c r="I29" s="514"/>
    </row>
    <row r="30" spans="1:10" s="508" customFormat="1" ht="15.75">
      <c r="A30" s="513"/>
      <c r="B30" s="518"/>
      <c r="C30" s="518"/>
      <c r="D30" s="515"/>
      <c r="E30" s="519"/>
      <c r="F30" s="518"/>
      <c r="G30" s="518"/>
      <c r="H30" s="389"/>
      <c r="I30" s="514"/>
    </row>
    <row r="31" spans="1:10" s="508" customFormat="1" ht="15.75">
      <c r="A31" s="509" t="s">
        <v>76</v>
      </c>
      <c r="B31" s="520">
        <f>+[3]dic19!B29</f>
        <v>-20370481</v>
      </c>
      <c r="C31" s="520">
        <v>-20370481</v>
      </c>
      <c r="D31" s="511">
        <f>+B31-C31</f>
        <v>0</v>
      </c>
      <c r="E31" s="512">
        <f>+B31/C31-1</f>
        <v>0</v>
      </c>
      <c r="F31" s="511"/>
      <c r="G31" s="511"/>
      <c r="H31" s="389"/>
      <c r="I31" s="514"/>
    </row>
    <row r="32" spans="1:10" s="508" customFormat="1" ht="15.75">
      <c r="A32" s="526"/>
      <c r="B32" s="524"/>
      <c r="C32" s="524"/>
      <c r="D32" s="524"/>
      <c r="E32" s="527"/>
      <c r="F32" s="524"/>
      <c r="G32" s="524"/>
      <c r="H32" s="389"/>
      <c r="I32" s="514"/>
    </row>
    <row r="33" spans="1:10" s="508" customFormat="1" ht="15.75">
      <c r="A33" s="509" t="s">
        <v>77</v>
      </c>
      <c r="B33" s="511">
        <f>SUM(B34:B35)</f>
        <v>25019565</v>
      </c>
      <c r="C33" s="511">
        <f>SUM(C34:C35)</f>
        <v>28593788</v>
      </c>
      <c r="D33" s="511">
        <f>SUM(D34:D35)</f>
        <v>-3574223</v>
      </c>
      <c r="E33" s="512">
        <f>+B33/C33-1</f>
        <v>-0.12499998251368449</v>
      </c>
      <c r="F33" s="511">
        <f>SUM(F34:F35)</f>
        <v>0</v>
      </c>
      <c r="G33" s="511">
        <f>SUM(G34:G35)</f>
        <v>0</v>
      </c>
      <c r="H33" s="389"/>
      <c r="I33" s="514"/>
    </row>
    <row r="34" spans="1:10" s="508" customFormat="1" ht="17.25" customHeight="1">
      <c r="A34" s="526" t="s">
        <v>78</v>
      </c>
      <c r="B34" s="514">
        <v>25019565</v>
      </c>
      <c r="C34" s="514">
        <v>28593788</v>
      </c>
      <c r="D34" s="515">
        <f>+B34-C34</f>
        <v>-3574223</v>
      </c>
      <c r="E34" s="516">
        <f>IF(C34=0,0,D34/C34)</f>
        <v>-0.12499998251368444</v>
      </c>
      <c r="F34" s="524"/>
      <c r="G34" s="524"/>
      <c r="H34" s="389"/>
      <c r="I34" s="514"/>
    </row>
    <row r="35" spans="1:10" s="508" customFormat="1" ht="15.75">
      <c r="A35" s="528"/>
      <c r="B35" s="524"/>
      <c r="C35" s="524"/>
      <c r="D35" s="515">
        <f>+B35-C35</f>
        <v>0</v>
      </c>
      <c r="E35" s="519"/>
      <c r="F35" s="524"/>
      <c r="G35" s="524"/>
      <c r="H35" s="389"/>
      <c r="I35" s="514"/>
    </row>
    <row r="36" spans="1:10" s="508" customFormat="1" ht="18.75" customHeight="1">
      <c r="A36" s="510" t="s">
        <v>3</v>
      </c>
      <c r="B36" s="525">
        <f>+B9+B13+B15+B22+B23+B26+B31+B33</f>
        <v>242805018.83999991</v>
      </c>
      <c r="C36" s="525">
        <f>+C9+C13+C15+C22+C23+C26+C31+C33</f>
        <v>222821379.42000031</v>
      </c>
      <c r="D36" s="525">
        <f>+D9+D13+D15+D22+D23+D26+D31+D33</f>
        <v>19983639.419999599</v>
      </c>
      <c r="E36" s="512">
        <f>+B36/C36-1</f>
        <v>8.9684569191774255E-2</v>
      </c>
      <c r="F36" s="525" t="e">
        <f>+F9+F13+F15+F22+#REF!+F23+F26+F31+F33</f>
        <v>#REF!</v>
      </c>
      <c r="G36" s="525" t="e">
        <f>+G9+G13+G15+G22+#REF!+G23+G26+G31+G33</f>
        <v>#REF!</v>
      </c>
      <c r="H36" s="389"/>
      <c r="I36" s="514"/>
    </row>
    <row r="37" spans="1:10" s="508" customFormat="1" ht="15.75">
      <c r="A37" s="513"/>
      <c r="B37" s="518"/>
      <c r="C37" s="518"/>
      <c r="D37" s="529"/>
      <c r="F37" s="518"/>
      <c r="G37" s="518"/>
      <c r="H37" s="389"/>
      <c r="I37" s="514"/>
    </row>
    <row r="38" spans="1:10" s="508" customFormat="1" ht="12.75" customHeight="1">
      <c r="A38" s="506" t="s">
        <v>4</v>
      </c>
      <c r="B38" s="518"/>
      <c r="C38" s="518"/>
      <c r="E38" s="519"/>
      <c r="F38" s="518"/>
      <c r="G38" s="518"/>
      <c r="H38" s="389"/>
      <c r="I38" s="514"/>
    </row>
    <row r="39" spans="1:10" s="508" customFormat="1" ht="15.75">
      <c r="A39" s="530" t="s">
        <v>5</v>
      </c>
      <c r="B39" s="525">
        <f>SUM(B40:B53)</f>
        <v>81520689</v>
      </c>
      <c r="C39" s="525">
        <f>SUM(C40:C53)</f>
        <v>81497380</v>
      </c>
      <c r="D39" s="525">
        <f>+B39-C39</f>
        <v>23309</v>
      </c>
      <c r="E39" s="512">
        <f>+B39/C39-1</f>
        <v>2.8600919440591177E-4</v>
      </c>
      <c r="F39" s="525">
        <f>SUM(F40:F42)</f>
        <v>0</v>
      </c>
      <c r="G39" s="525">
        <f>SUM(G40:G42)</f>
        <v>0</v>
      </c>
      <c r="H39" s="389"/>
      <c r="I39" s="514"/>
      <c r="J39" s="531"/>
    </row>
    <row r="40" spans="1:10" s="508" customFormat="1" ht="15.75">
      <c r="A40" s="513" t="s">
        <v>6</v>
      </c>
      <c r="B40" s="514">
        <v>610630</v>
      </c>
      <c r="C40" s="514">
        <v>3144665</v>
      </c>
      <c r="D40" s="515">
        <f t="shared" ref="D40:D53" si="2">+B40-C40</f>
        <v>-2534035</v>
      </c>
      <c r="E40" s="516">
        <f t="shared" ref="E40:E53" si="3">IF(C40=0,0,D40/C40)</f>
        <v>-0.80582033380344176</v>
      </c>
      <c r="F40" s="518"/>
      <c r="G40" s="518"/>
      <c r="H40" s="389"/>
      <c r="I40" s="514"/>
    </row>
    <row r="41" spans="1:10" s="508" customFormat="1" ht="15.75">
      <c r="A41" s="513" t="s">
        <v>515</v>
      </c>
      <c r="B41" s="514">
        <v>2585651</v>
      </c>
      <c r="C41" s="514">
        <v>86651</v>
      </c>
      <c r="D41" s="515">
        <f t="shared" si="2"/>
        <v>2499000</v>
      </c>
      <c r="E41" s="516">
        <f t="shared" si="3"/>
        <v>28.839828738271919</v>
      </c>
      <c r="F41" s="518"/>
      <c r="G41" s="518"/>
      <c r="H41" s="389"/>
      <c r="I41" s="514"/>
    </row>
    <row r="42" spans="1:10" s="508" customFormat="1" ht="15.75">
      <c r="A42" s="513" t="s">
        <v>81</v>
      </c>
      <c r="B42" s="514">
        <v>4261000</v>
      </c>
      <c r="C42" s="514">
        <v>4561655</v>
      </c>
      <c r="D42" s="515">
        <f t="shared" si="2"/>
        <v>-300655</v>
      </c>
      <c r="E42" s="516">
        <f t="shared" si="3"/>
        <v>-6.5909193045068079E-2</v>
      </c>
      <c r="F42" s="518"/>
      <c r="G42" s="518"/>
      <c r="H42" s="389"/>
      <c r="I42" s="514"/>
    </row>
    <row r="43" spans="1:10" s="508" customFormat="1" ht="15.75">
      <c r="A43" s="513" t="str">
        <f>+[3]dic19!A39</f>
        <v>Asistente Administrativa</v>
      </c>
      <c r="B43" s="514">
        <v>1851519</v>
      </c>
      <c r="C43" s="514">
        <v>1746717</v>
      </c>
      <c r="D43" s="515">
        <f t="shared" si="2"/>
        <v>104802</v>
      </c>
      <c r="E43" s="516">
        <f t="shared" si="3"/>
        <v>5.9999416047361996E-2</v>
      </c>
      <c r="F43" s="518"/>
      <c r="G43" s="518"/>
      <c r="H43" s="389"/>
      <c r="I43" s="514"/>
    </row>
    <row r="44" spans="1:10" s="508" customFormat="1" ht="15.75">
      <c r="A44" s="513" t="s">
        <v>83</v>
      </c>
      <c r="B44" s="514">
        <v>41918824</v>
      </c>
      <c r="C44" s="514">
        <v>39546061</v>
      </c>
      <c r="D44" s="515">
        <f t="shared" si="2"/>
        <v>2372763</v>
      </c>
      <c r="E44" s="516">
        <f t="shared" si="3"/>
        <v>5.9999983310600767E-2</v>
      </c>
      <c r="F44" s="518"/>
      <c r="G44" s="518"/>
      <c r="H44" s="389"/>
      <c r="I44" s="514"/>
    </row>
    <row r="45" spans="1:10" s="508" customFormat="1" ht="15.75">
      <c r="A45" s="513" t="s">
        <v>85</v>
      </c>
      <c r="B45" s="514">
        <v>7809723</v>
      </c>
      <c r="C45" s="514">
        <v>6592664</v>
      </c>
      <c r="D45" s="515">
        <f t="shared" si="2"/>
        <v>1217059</v>
      </c>
      <c r="E45" s="516">
        <f t="shared" si="3"/>
        <v>0.18460807345862007</v>
      </c>
      <c r="F45" s="518"/>
      <c r="G45" s="518"/>
      <c r="H45" s="389"/>
      <c r="I45" s="514"/>
    </row>
    <row r="46" spans="1:10" s="508" customFormat="1" ht="15.75">
      <c r="A46" s="513" t="s">
        <v>563</v>
      </c>
      <c r="B46" s="514">
        <v>350474</v>
      </c>
      <c r="C46" s="514"/>
      <c r="D46" s="515"/>
      <c r="E46" s="516"/>
      <c r="F46" s="518"/>
      <c r="G46" s="518"/>
      <c r="H46" s="389"/>
      <c r="I46" s="514"/>
    </row>
    <row r="47" spans="1:10" s="508" customFormat="1" ht="15.75">
      <c r="A47" s="533" t="s">
        <v>86</v>
      </c>
      <c r="B47" s="514">
        <v>270588</v>
      </c>
      <c r="C47" s="514">
        <v>1101681</v>
      </c>
      <c r="D47" s="515">
        <f t="shared" si="2"/>
        <v>-831093</v>
      </c>
      <c r="E47" s="516">
        <f t="shared" si="3"/>
        <v>-0.75438625155557737</v>
      </c>
      <c r="F47" s="518"/>
      <c r="G47" s="518"/>
      <c r="H47" s="389"/>
      <c r="I47" s="514"/>
    </row>
    <row r="48" spans="1:10" s="508" customFormat="1" ht="15.75">
      <c r="A48" s="533" t="s">
        <v>177</v>
      </c>
      <c r="B48" s="514">
        <v>565000</v>
      </c>
      <c r="C48" s="514"/>
      <c r="D48" s="515"/>
      <c r="E48" s="516"/>
      <c r="F48" s="518"/>
      <c r="G48" s="518"/>
      <c r="H48" s="389"/>
      <c r="I48" s="514"/>
    </row>
    <row r="49" spans="1:9" s="508" customFormat="1" ht="15.75">
      <c r="A49" s="534" t="str">
        <f>+[3]dic19!A46</f>
        <v>Mant locativos</v>
      </c>
      <c r="B49" s="514">
        <v>5905400</v>
      </c>
      <c r="C49" s="514">
        <v>8291000</v>
      </c>
      <c r="D49" s="515">
        <f t="shared" si="2"/>
        <v>-2385600</v>
      </c>
      <c r="E49" s="516">
        <f t="shared" si="3"/>
        <v>-0.28773368713062358</v>
      </c>
      <c r="F49" s="518"/>
      <c r="G49" s="518"/>
      <c r="H49" s="389"/>
      <c r="I49" s="514"/>
    </row>
    <row r="50" spans="1:9" s="508" customFormat="1" ht="15.75">
      <c r="A50" s="534" t="s">
        <v>177</v>
      </c>
      <c r="B50" s="514"/>
      <c r="C50" s="514"/>
      <c r="D50" s="515">
        <f t="shared" si="2"/>
        <v>0</v>
      </c>
      <c r="E50" s="516">
        <f t="shared" si="3"/>
        <v>0</v>
      </c>
      <c r="F50" s="518"/>
      <c r="G50" s="518"/>
      <c r="H50" s="389"/>
      <c r="I50" s="514"/>
    </row>
    <row r="51" spans="1:9" s="508" customFormat="1" ht="15.75">
      <c r="A51" s="534" t="s">
        <v>550</v>
      </c>
      <c r="B51" s="514">
        <f>148850+13383099+1579593</f>
        <v>15111542</v>
      </c>
      <c r="C51" s="514">
        <v>15081871</v>
      </c>
      <c r="D51" s="515">
        <f t="shared" si="2"/>
        <v>29671</v>
      </c>
      <c r="E51" s="516">
        <f t="shared" si="3"/>
        <v>1.9673288546228781E-3</v>
      </c>
      <c r="F51" s="518"/>
      <c r="G51" s="518"/>
      <c r="H51" s="389"/>
      <c r="I51" s="514"/>
    </row>
    <row r="52" spans="1:9" s="508" customFormat="1" ht="15.75">
      <c r="A52" s="532" t="s">
        <v>551</v>
      </c>
      <c r="B52" s="515"/>
      <c r="C52" s="514"/>
      <c r="D52" s="515">
        <f t="shared" si="2"/>
        <v>0</v>
      </c>
      <c r="E52" s="516">
        <f t="shared" si="3"/>
        <v>0</v>
      </c>
      <c r="F52" s="518"/>
      <c r="G52" s="518"/>
      <c r="H52" s="389"/>
      <c r="I52" s="514"/>
    </row>
    <row r="53" spans="1:9" s="508" customFormat="1" ht="16.5" customHeight="1">
      <c r="A53" s="513" t="s">
        <v>82</v>
      </c>
      <c r="B53" s="514">
        <v>280338</v>
      </c>
      <c r="C53" s="514">
        <v>1344415</v>
      </c>
      <c r="D53" s="515">
        <f t="shared" si="2"/>
        <v>-1064077</v>
      </c>
      <c r="E53" s="516">
        <f t="shared" si="3"/>
        <v>-0.79147956546155762</v>
      </c>
      <c r="F53" s="518"/>
      <c r="G53" s="518"/>
      <c r="H53" s="389"/>
      <c r="I53" s="514"/>
    </row>
    <row r="54" spans="1:9" s="508" customFormat="1" ht="15.75">
      <c r="A54" s="530" t="s">
        <v>88</v>
      </c>
      <c r="B54" s="525">
        <f>+B55</f>
        <v>6146780</v>
      </c>
      <c r="C54" s="525">
        <f>+C55</f>
        <v>5186850</v>
      </c>
      <c r="D54" s="525">
        <f>+B54-C54</f>
        <v>959930</v>
      </c>
      <c r="E54" s="512">
        <f>+B54/C54-1</f>
        <v>0.18506993647396786</v>
      </c>
      <c r="F54" s="525"/>
      <c r="G54" s="525"/>
      <c r="H54" s="389"/>
      <c r="I54" s="514"/>
    </row>
    <row r="55" spans="1:9" s="508" customFormat="1" ht="15.75">
      <c r="A55" s="513" t="s">
        <v>62</v>
      </c>
      <c r="B55" s="514">
        <v>6146780</v>
      </c>
      <c r="C55" s="514">
        <v>5186850</v>
      </c>
      <c r="D55" s="515">
        <f>+B55-C55</f>
        <v>959930</v>
      </c>
      <c r="E55" s="516">
        <f>IF(C55=0,0,D55/C55)</f>
        <v>0.18506993647396783</v>
      </c>
      <c r="F55" s="518"/>
      <c r="G55" s="518"/>
      <c r="H55" s="389"/>
      <c r="I55" s="514"/>
    </row>
    <row r="56" spans="1:9" s="508" customFormat="1" ht="10.5" customHeight="1">
      <c r="A56" s="513"/>
      <c r="B56" s="518"/>
      <c r="C56" s="518"/>
      <c r="D56" s="535"/>
      <c r="E56" s="519"/>
      <c r="F56" s="518"/>
      <c r="G56" s="518"/>
      <c r="H56" s="389"/>
      <c r="I56" s="514"/>
    </row>
    <row r="57" spans="1:9" s="508" customFormat="1" ht="15.75">
      <c r="A57" s="530" t="s">
        <v>552</v>
      </c>
      <c r="B57" s="525">
        <f>SUM(B58:B59)</f>
        <v>147541</v>
      </c>
      <c r="C57" s="525">
        <f>SUM(C58:C59)</f>
        <v>40896</v>
      </c>
      <c r="D57" s="525">
        <f>SUM(D58:D59)</f>
        <v>106645</v>
      </c>
      <c r="E57" s="512">
        <f>+B57/C57-1</f>
        <v>2.6077122456964008</v>
      </c>
      <c r="F57" s="525" t="e">
        <f>SUM(#REF!)</f>
        <v>#REF!</v>
      </c>
      <c r="G57" s="525" t="e">
        <f>SUM(#REF!)</f>
        <v>#REF!</v>
      </c>
      <c r="H57" s="389"/>
      <c r="I57" s="514"/>
    </row>
    <row r="58" spans="1:9" s="508" customFormat="1" ht="15.75">
      <c r="A58" s="513" t="s">
        <v>564</v>
      </c>
      <c r="B58" s="514">
        <v>40000</v>
      </c>
      <c r="C58" s="514"/>
      <c r="D58" s="515">
        <f>+B58-C58</f>
        <v>40000</v>
      </c>
      <c r="E58" s="516">
        <f>IF(C58=0,0,D58/C58)</f>
        <v>0</v>
      </c>
      <c r="F58" s="518"/>
      <c r="G58" s="518"/>
      <c r="H58" s="389"/>
      <c r="I58" s="514"/>
    </row>
    <row r="59" spans="1:9" s="508" customFormat="1" ht="15.75">
      <c r="A59" s="513" t="s">
        <v>553</v>
      </c>
      <c r="B59" s="514">
        <v>107541</v>
      </c>
      <c r="C59" s="514">
        <v>40896</v>
      </c>
      <c r="D59" s="515">
        <f>+B59-C59</f>
        <v>66645</v>
      </c>
      <c r="E59" s="516">
        <f>IF(C59=0,0,D59/C59)</f>
        <v>1.6296214788732395</v>
      </c>
      <c r="F59" s="518"/>
      <c r="G59" s="518"/>
      <c r="H59" s="389"/>
      <c r="I59" s="514"/>
    </row>
    <row r="60" spans="1:9" s="508" customFormat="1" ht="22.5" customHeight="1">
      <c r="A60" s="510" t="s">
        <v>7</v>
      </c>
      <c r="B60" s="536">
        <f>+B39+B54+B57</f>
        <v>87815010</v>
      </c>
      <c r="C60" s="536">
        <f>+C39+C54+C57</f>
        <v>86725126</v>
      </c>
      <c r="D60" s="536">
        <f>+D39+D54+D57</f>
        <v>1089884</v>
      </c>
      <c r="E60" s="512">
        <f>+D60/C60</f>
        <v>1.2567107714550914E-2</v>
      </c>
      <c r="F60" s="536" t="e">
        <f>+F39+#REF!+F54+F57</f>
        <v>#REF!</v>
      </c>
      <c r="G60" s="536" t="e">
        <f>+G39+#REF!+G54+G57</f>
        <v>#REF!</v>
      </c>
      <c r="H60" s="389"/>
      <c r="I60" s="514"/>
    </row>
    <row r="61" spans="1:9" s="508" customFormat="1" ht="15.75">
      <c r="A61" s="513"/>
      <c r="B61" s="518"/>
      <c r="C61" s="518"/>
      <c r="D61" s="524"/>
      <c r="E61" s="519"/>
      <c r="F61" s="518"/>
      <c r="G61" s="518"/>
      <c r="H61" s="389"/>
      <c r="I61" s="514"/>
    </row>
    <row r="62" spans="1:9" s="508" customFormat="1" ht="15.75">
      <c r="A62" s="509" t="s">
        <v>8</v>
      </c>
      <c r="B62" s="536">
        <f>SUM(B64:B70)</f>
        <v>154990008.84</v>
      </c>
      <c r="C62" s="536">
        <f>SUM(C64:C70)</f>
        <v>136096253</v>
      </c>
      <c r="D62" s="536">
        <f>SUM(D64:D70)</f>
        <v>18893755.840000015</v>
      </c>
      <c r="E62" s="512">
        <f>+B62/C62-1</f>
        <v>0.13882642191478989</v>
      </c>
      <c r="F62" s="536">
        <f>SUM(F64:F69)</f>
        <v>0</v>
      </c>
      <c r="G62" s="536">
        <f>SUM(G64:G69)</f>
        <v>0</v>
      </c>
      <c r="H62" s="389"/>
      <c r="I62" s="514"/>
    </row>
    <row r="63" spans="1:9" s="508" customFormat="1" ht="15.75">
      <c r="A63" s="513"/>
      <c r="B63" s="537"/>
      <c r="C63" s="537"/>
      <c r="D63" s="537"/>
      <c r="E63" s="519"/>
      <c r="F63" s="537"/>
      <c r="G63" s="537"/>
      <c r="H63" s="389"/>
      <c r="I63" s="514"/>
    </row>
    <row r="64" spans="1:9" s="508" customFormat="1" ht="15.75">
      <c r="A64" s="513" t="s">
        <v>554</v>
      </c>
      <c r="B64" s="514">
        <v>48279268</v>
      </c>
      <c r="C64" s="514">
        <v>47467039.999999985</v>
      </c>
      <c r="D64" s="515">
        <f t="shared" ref="D64:D70" si="4">+B64-C64</f>
        <v>812228.0000000149</v>
      </c>
      <c r="E64" s="516">
        <f t="shared" ref="E64:E70" si="5">IF(C64=0,0,D64/C64)</f>
        <v>1.7111410359694119E-2</v>
      </c>
      <c r="F64" s="518"/>
      <c r="G64" s="518"/>
      <c r="H64" s="389"/>
      <c r="I64" s="514"/>
    </row>
    <row r="65" spans="1:9" s="508" customFormat="1" ht="15.75">
      <c r="A65" s="513" t="str">
        <f>+[3]dic19!A54</f>
        <v>Fondo para Mant Sótanos</v>
      </c>
      <c r="B65" s="514">
        <v>9300022</v>
      </c>
      <c r="C65" s="514">
        <v>9300022</v>
      </c>
      <c r="D65" s="515">
        <f t="shared" si="4"/>
        <v>0</v>
      </c>
      <c r="E65" s="516">
        <f t="shared" si="5"/>
        <v>0</v>
      </c>
      <c r="F65" s="518"/>
      <c r="G65" s="518"/>
      <c r="H65" s="389"/>
      <c r="I65" s="514"/>
    </row>
    <row r="66" spans="1:9" s="508" customFormat="1" ht="15.75">
      <c r="A66" s="513" t="s">
        <v>555</v>
      </c>
      <c r="B66" s="514">
        <v>15016836.85</v>
      </c>
      <c r="C66" s="514">
        <v>12311359</v>
      </c>
      <c r="D66" s="515">
        <f t="shared" si="4"/>
        <v>2705477.8499999996</v>
      </c>
      <c r="E66" s="516">
        <f t="shared" si="5"/>
        <v>0.21975460629488586</v>
      </c>
      <c r="F66" s="518"/>
      <c r="G66" s="518"/>
      <c r="H66" s="389"/>
      <c r="I66" s="514"/>
    </row>
    <row r="67" spans="1:9" s="508" customFormat="1" ht="15.75">
      <c r="A67" s="513" t="str">
        <f>+[3]dic19!A56</f>
        <v>Fondo para Remodelacion Recepcion</v>
      </c>
      <c r="B67" s="514">
        <v>18735623</v>
      </c>
      <c r="C67" s="514">
        <v>18735623</v>
      </c>
      <c r="D67" s="515">
        <f t="shared" si="4"/>
        <v>0</v>
      </c>
      <c r="E67" s="516">
        <f t="shared" si="5"/>
        <v>0</v>
      </c>
      <c r="F67" s="518"/>
      <c r="G67" s="518"/>
      <c r="H67" s="389"/>
      <c r="I67" s="514"/>
    </row>
    <row r="68" spans="1:9" s="508" customFormat="1" ht="15.75">
      <c r="A68" s="513" t="str">
        <f>+[3]dic19!A57</f>
        <v>Fondos con Destinacion Específica</v>
      </c>
      <c r="B68" s="514">
        <v>31412365</v>
      </c>
      <c r="C68" s="514">
        <v>31412365</v>
      </c>
      <c r="D68" s="515">
        <f t="shared" si="4"/>
        <v>0</v>
      </c>
      <c r="E68" s="516">
        <f t="shared" si="5"/>
        <v>0</v>
      </c>
      <c r="F68" s="518"/>
      <c r="G68" s="518"/>
      <c r="H68" s="389"/>
      <c r="I68" s="514"/>
    </row>
    <row r="69" spans="1:9" s="508" customFormat="1" ht="15.75">
      <c r="A69" s="513" t="s">
        <v>556</v>
      </c>
      <c r="B69" s="514">
        <v>15376050</v>
      </c>
      <c r="C69" s="514">
        <v>-29592627</v>
      </c>
      <c r="D69" s="515">
        <f t="shared" si="4"/>
        <v>44968677</v>
      </c>
      <c r="E69" s="516">
        <f t="shared" si="5"/>
        <v>-1.519590572340874</v>
      </c>
      <c r="F69" s="518"/>
      <c r="G69" s="518"/>
      <c r="H69" s="389"/>
      <c r="I69" s="514"/>
    </row>
    <row r="70" spans="1:9" s="508" customFormat="1" ht="15.75">
      <c r="A70" s="513" t="str">
        <f>+[3]dic19!A59</f>
        <v>Resultados ejercicios anteriores</v>
      </c>
      <c r="B70" s="514">
        <v>16869843.989999998</v>
      </c>
      <c r="C70" s="514">
        <v>46462471</v>
      </c>
      <c r="D70" s="515">
        <f t="shared" si="4"/>
        <v>-29592627.010000002</v>
      </c>
      <c r="E70" s="516">
        <f t="shared" si="5"/>
        <v>-0.63691461889747536</v>
      </c>
      <c r="F70" s="518"/>
      <c r="G70" s="518"/>
      <c r="H70" s="389"/>
      <c r="I70" s="514"/>
    </row>
    <row r="71" spans="1:9" s="508" customFormat="1" ht="36.75" customHeight="1">
      <c r="A71" s="509" t="s">
        <v>9</v>
      </c>
      <c r="B71" s="536">
        <f>+B62+B60</f>
        <v>242805018.84</v>
      </c>
      <c r="C71" s="536">
        <f>+C62+C60</f>
        <v>222821379</v>
      </c>
      <c r="D71" s="536">
        <f>+D62+D60</f>
        <v>19983639.840000015</v>
      </c>
      <c r="E71" s="512">
        <f>+B71/C71-1</f>
        <v>8.968457124574214E-2</v>
      </c>
      <c r="F71" s="536" t="e">
        <f>+F62+F60</f>
        <v>#REF!</v>
      </c>
      <c r="G71" s="536" t="e">
        <f>+G62+G60</f>
        <v>#REF!</v>
      </c>
      <c r="H71" s="389"/>
      <c r="I71" s="514"/>
    </row>
    <row r="72" spans="1:9" s="508" customFormat="1" ht="15.75">
      <c r="A72" s="513"/>
      <c r="B72" s="538"/>
      <c r="C72" s="538"/>
      <c r="D72" s="538"/>
      <c r="F72" s="538"/>
      <c r="G72" s="538"/>
      <c r="H72" s="389"/>
      <c r="I72" s="514"/>
    </row>
    <row r="73" spans="1:9" s="508" customFormat="1" ht="4.5" customHeight="1">
      <c r="B73" s="539"/>
      <c r="C73" s="539"/>
      <c r="D73" s="540"/>
      <c r="F73" s="540"/>
      <c r="G73" s="540"/>
      <c r="H73" s="389"/>
      <c r="I73" s="514"/>
    </row>
    <row r="74" spans="1:9" s="508" customFormat="1" hidden="1">
      <c r="B74" s="539"/>
      <c r="C74" s="539"/>
      <c r="H74" s="514"/>
      <c r="I74" s="514"/>
    </row>
    <row r="75" spans="1:9" s="508" customFormat="1" hidden="1">
      <c r="A75" s="500"/>
      <c r="B75" s="500"/>
      <c r="C75" s="500"/>
      <c r="D75" s="500"/>
      <c r="H75" s="514"/>
      <c r="I75" s="500"/>
    </row>
    <row r="76" spans="1:9" s="508" customFormat="1">
      <c r="A76" s="500"/>
      <c r="B76" s="500"/>
      <c r="C76" s="500"/>
      <c r="D76" s="500"/>
      <c r="H76" s="514"/>
      <c r="I76" s="500"/>
    </row>
    <row r="77" spans="1:9" s="508" customFormat="1">
      <c r="B77" s="539"/>
      <c r="C77" s="539"/>
      <c r="H77" s="514"/>
      <c r="I77" s="500"/>
    </row>
    <row r="78" spans="1:9" s="508" customFormat="1">
      <c r="A78" s="508" t="s">
        <v>367</v>
      </c>
      <c r="B78" s="508" t="s">
        <v>557</v>
      </c>
      <c r="D78" s="508" t="s">
        <v>558</v>
      </c>
      <c r="H78" s="514"/>
      <c r="I78" s="500"/>
    </row>
    <row r="79" spans="1:9" s="508" customFormat="1">
      <c r="A79" s="508" t="s">
        <v>559</v>
      </c>
      <c r="B79" s="508" t="s">
        <v>95</v>
      </c>
      <c r="D79" s="508" t="s">
        <v>96</v>
      </c>
    </row>
    <row r="80" spans="1:9" s="508" customFormat="1">
      <c r="A80" s="508" t="s">
        <v>560</v>
      </c>
      <c r="B80" s="508" t="s">
        <v>561</v>
      </c>
      <c r="D80" s="508" t="s">
        <v>562</v>
      </c>
      <c r="F80" s="535"/>
      <c r="G80" s="535"/>
    </row>
    <row r="92" spans="2:3">
      <c r="B92" s="541"/>
      <c r="C92" s="541"/>
    </row>
    <row r="93" spans="2:3">
      <c r="B93" s="542"/>
      <c r="C93" s="542"/>
    </row>
    <row r="98" spans="8:8">
      <c r="H98" s="514"/>
    </row>
    <row r="99" spans="8:8">
      <c r="H99" s="514"/>
    </row>
    <row r="100" spans="8:8">
      <c r="H100" s="514"/>
    </row>
    <row r="101" spans="8:8">
      <c r="H101" s="514"/>
    </row>
    <row r="102" spans="8:8">
      <c r="H102" s="514"/>
    </row>
    <row r="103" spans="8:8">
      <c r="H103" s="514"/>
    </row>
    <row r="104" spans="8:8">
      <c r="H104" s="514"/>
    </row>
    <row r="105" spans="8:8">
      <c r="H105" s="514"/>
    </row>
    <row r="106" spans="8:8">
      <c r="H106" s="514"/>
    </row>
    <row r="107" spans="8:8">
      <c r="H107" s="514"/>
    </row>
  </sheetData>
  <mergeCells count="2">
    <mergeCell ref="A3:E3"/>
    <mergeCell ref="A4:E4"/>
  </mergeCells>
  <printOptions horizontalCentered="1" verticalCentered="1"/>
  <pageMargins left="0.70866141732283472" right="0.70866141732283472" top="0.74803149606299213" bottom="0.74803149606299213" header="0.31496062992125984" footer="0.31496062992125984"/>
  <pageSetup scale="57" orientation="portrait" horizontalDpi="4294967294" verticalDpi="14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9"/>
  <sheetViews>
    <sheetView workbookViewId="0">
      <pane xSplit="2" ySplit="6" topLeftCell="C36" activePane="bottomRight" state="frozen"/>
      <selection pane="topRight" activeCell="D1" sqref="D1"/>
      <selection pane="bottomLeft" activeCell="A7" sqref="A7"/>
      <selection pane="bottomRight" activeCell="C49" sqref="C49:C56"/>
    </sheetView>
  </sheetViews>
  <sheetFormatPr baseColWidth="10" defaultRowHeight="12.75"/>
  <cols>
    <col min="1" max="1" width="37" style="500" customWidth="1"/>
    <col min="2" max="3" width="17.140625" style="500" customWidth="1"/>
    <col min="4" max="4" width="17.85546875" style="500" customWidth="1"/>
    <col min="5" max="5" width="7.42578125" style="500" customWidth="1"/>
    <col min="6" max="7" width="0" style="500" hidden="1" customWidth="1"/>
    <col min="8" max="8" width="48.85546875" style="500" customWidth="1"/>
    <col min="9" max="9" width="31.28515625" style="500" customWidth="1"/>
    <col min="10" max="10" width="12.28515625" style="500" hidden="1" customWidth="1"/>
    <col min="11" max="11" width="13.140625" style="500" hidden="1" customWidth="1"/>
    <col min="12" max="13" width="11.42578125" style="500" hidden="1" customWidth="1"/>
    <col min="14" max="14" width="49" style="500" hidden="1" customWidth="1"/>
    <col min="15" max="27" width="49" style="500" customWidth="1"/>
    <col min="28" max="255" width="11.42578125" style="500"/>
    <col min="256" max="256" width="37" style="500" customWidth="1"/>
    <col min="257" max="257" width="7.28515625" style="500" bestFit="1" customWidth="1"/>
    <col min="258" max="259" width="17.140625" style="500" customWidth="1"/>
    <col min="260" max="260" width="17.85546875" style="500" customWidth="1"/>
    <col min="261" max="261" width="7.42578125" style="500" customWidth="1"/>
    <col min="262" max="263" width="0" style="500" hidden="1" customWidth="1"/>
    <col min="264" max="264" width="49" style="500" customWidth="1"/>
    <col min="265" max="265" width="31.28515625" style="500" customWidth="1"/>
    <col min="266" max="266" width="12.28515625" style="500" bestFit="1" customWidth="1"/>
    <col min="267" max="511" width="11.42578125" style="500"/>
    <col min="512" max="512" width="37" style="500" customWidth="1"/>
    <col min="513" max="513" width="7.28515625" style="500" bestFit="1" customWidth="1"/>
    <col min="514" max="515" width="17.140625" style="500" customWidth="1"/>
    <col min="516" max="516" width="17.85546875" style="500" customWidth="1"/>
    <col min="517" max="517" width="7.42578125" style="500" customWidth="1"/>
    <col min="518" max="519" width="0" style="500" hidden="1" customWidth="1"/>
    <col min="520" max="520" width="49" style="500" customWidth="1"/>
    <col min="521" max="521" width="31.28515625" style="500" customWidth="1"/>
    <col min="522" max="522" width="12.28515625" style="500" bestFit="1" customWidth="1"/>
    <col min="523" max="767" width="11.42578125" style="500"/>
    <col min="768" max="768" width="37" style="500" customWidth="1"/>
    <col min="769" max="769" width="7.28515625" style="500" bestFit="1" customWidth="1"/>
    <col min="770" max="771" width="17.140625" style="500" customWidth="1"/>
    <col min="772" max="772" width="17.85546875" style="500" customWidth="1"/>
    <col min="773" max="773" width="7.42578125" style="500" customWidth="1"/>
    <col min="774" max="775" width="0" style="500" hidden="1" customWidth="1"/>
    <col min="776" max="776" width="49" style="500" customWidth="1"/>
    <col min="777" max="777" width="31.28515625" style="500" customWidth="1"/>
    <col min="778" max="778" width="12.28515625" style="500" bestFit="1" customWidth="1"/>
    <col min="779" max="1023" width="11.42578125" style="500"/>
    <col min="1024" max="1024" width="37" style="500" customWidth="1"/>
    <col min="1025" max="1025" width="7.28515625" style="500" bestFit="1" customWidth="1"/>
    <col min="1026" max="1027" width="17.140625" style="500" customWidth="1"/>
    <col min="1028" max="1028" width="17.85546875" style="500" customWidth="1"/>
    <col min="1029" max="1029" width="7.42578125" style="500" customWidth="1"/>
    <col min="1030" max="1031" width="0" style="500" hidden="1" customWidth="1"/>
    <col min="1032" max="1032" width="49" style="500" customWidth="1"/>
    <col min="1033" max="1033" width="31.28515625" style="500" customWidth="1"/>
    <col min="1034" max="1034" width="12.28515625" style="500" bestFit="1" customWidth="1"/>
    <col min="1035" max="1279" width="11.42578125" style="500"/>
    <col min="1280" max="1280" width="37" style="500" customWidth="1"/>
    <col min="1281" max="1281" width="7.28515625" style="500" bestFit="1" customWidth="1"/>
    <col min="1282" max="1283" width="17.140625" style="500" customWidth="1"/>
    <col min="1284" max="1284" width="17.85546875" style="500" customWidth="1"/>
    <col min="1285" max="1285" width="7.42578125" style="500" customWidth="1"/>
    <col min="1286" max="1287" width="0" style="500" hidden="1" customWidth="1"/>
    <col min="1288" max="1288" width="49" style="500" customWidth="1"/>
    <col min="1289" max="1289" width="31.28515625" style="500" customWidth="1"/>
    <col min="1290" max="1290" width="12.28515625" style="500" bestFit="1" customWidth="1"/>
    <col min="1291" max="1535" width="11.42578125" style="500"/>
    <col min="1536" max="1536" width="37" style="500" customWidth="1"/>
    <col min="1537" max="1537" width="7.28515625" style="500" bestFit="1" customWidth="1"/>
    <col min="1538" max="1539" width="17.140625" style="500" customWidth="1"/>
    <col min="1540" max="1540" width="17.85546875" style="500" customWidth="1"/>
    <col min="1541" max="1541" width="7.42578125" style="500" customWidth="1"/>
    <col min="1542" max="1543" width="0" style="500" hidden="1" customWidth="1"/>
    <col min="1544" max="1544" width="49" style="500" customWidth="1"/>
    <col min="1545" max="1545" width="31.28515625" style="500" customWidth="1"/>
    <col min="1546" max="1546" width="12.28515625" style="500" bestFit="1" customWidth="1"/>
    <col min="1547" max="1791" width="11.42578125" style="500"/>
    <col min="1792" max="1792" width="37" style="500" customWidth="1"/>
    <col min="1793" max="1793" width="7.28515625" style="500" bestFit="1" customWidth="1"/>
    <col min="1794" max="1795" width="17.140625" style="500" customWidth="1"/>
    <col min="1796" max="1796" width="17.85546875" style="500" customWidth="1"/>
    <col min="1797" max="1797" width="7.42578125" style="500" customWidth="1"/>
    <col min="1798" max="1799" width="0" style="500" hidden="1" customWidth="1"/>
    <col min="1800" max="1800" width="49" style="500" customWidth="1"/>
    <col min="1801" max="1801" width="31.28515625" style="500" customWidth="1"/>
    <col min="1802" max="1802" width="12.28515625" style="500" bestFit="1" customWidth="1"/>
    <col min="1803" max="2047" width="11.42578125" style="500"/>
    <col min="2048" max="2048" width="37" style="500" customWidth="1"/>
    <col min="2049" max="2049" width="7.28515625" style="500" bestFit="1" customWidth="1"/>
    <col min="2050" max="2051" width="17.140625" style="500" customWidth="1"/>
    <col min="2052" max="2052" width="17.85546875" style="500" customWidth="1"/>
    <col min="2053" max="2053" width="7.42578125" style="500" customWidth="1"/>
    <col min="2054" max="2055" width="0" style="500" hidden="1" customWidth="1"/>
    <col min="2056" max="2056" width="49" style="500" customWidth="1"/>
    <col min="2057" max="2057" width="31.28515625" style="500" customWidth="1"/>
    <col min="2058" max="2058" width="12.28515625" style="500" bestFit="1" customWidth="1"/>
    <col min="2059" max="2303" width="11.42578125" style="500"/>
    <col min="2304" max="2304" width="37" style="500" customWidth="1"/>
    <col min="2305" max="2305" width="7.28515625" style="500" bestFit="1" customWidth="1"/>
    <col min="2306" max="2307" width="17.140625" style="500" customWidth="1"/>
    <col min="2308" max="2308" width="17.85546875" style="500" customWidth="1"/>
    <col min="2309" max="2309" width="7.42578125" style="500" customWidth="1"/>
    <col min="2310" max="2311" width="0" style="500" hidden="1" customWidth="1"/>
    <col min="2312" max="2312" width="49" style="500" customWidth="1"/>
    <col min="2313" max="2313" width="31.28515625" style="500" customWidth="1"/>
    <col min="2314" max="2314" width="12.28515625" style="500" bestFit="1" customWidth="1"/>
    <col min="2315" max="2559" width="11.42578125" style="500"/>
    <col min="2560" max="2560" width="37" style="500" customWidth="1"/>
    <col min="2561" max="2561" width="7.28515625" style="500" bestFit="1" customWidth="1"/>
    <col min="2562" max="2563" width="17.140625" style="500" customWidth="1"/>
    <col min="2564" max="2564" width="17.85546875" style="500" customWidth="1"/>
    <col min="2565" max="2565" width="7.42578125" style="500" customWidth="1"/>
    <col min="2566" max="2567" width="0" style="500" hidden="1" customWidth="1"/>
    <col min="2568" max="2568" width="49" style="500" customWidth="1"/>
    <col min="2569" max="2569" width="31.28515625" style="500" customWidth="1"/>
    <col min="2570" max="2570" width="12.28515625" style="500" bestFit="1" customWidth="1"/>
    <col min="2571" max="2815" width="11.42578125" style="500"/>
    <col min="2816" max="2816" width="37" style="500" customWidth="1"/>
    <col min="2817" max="2817" width="7.28515625" style="500" bestFit="1" customWidth="1"/>
    <col min="2818" max="2819" width="17.140625" style="500" customWidth="1"/>
    <col min="2820" max="2820" width="17.85546875" style="500" customWidth="1"/>
    <col min="2821" max="2821" width="7.42578125" style="500" customWidth="1"/>
    <col min="2822" max="2823" width="0" style="500" hidden="1" customWidth="1"/>
    <col min="2824" max="2824" width="49" style="500" customWidth="1"/>
    <col min="2825" max="2825" width="31.28515625" style="500" customWidth="1"/>
    <col min="2826" max="2826" width="12.28515625" style="500" bestFit="1" customWidth="1"/>
    <col min="2827" max="3071" width="11.42578125" style="500"/>
    <col min="3072" max="3072" width="37" style="500" customWidth="1"/>
    <col min="3073" max="3073" width="7.28515625" style="500" bestFit="1" customWidth="1"/>
    <col min="3074" max="3075" width="17.140625" style="500" customWidth="1"/>
    <col min="3076" max="3076" width="17.85546875" style="500" customWidth="1"/>
    <col min="3077" max="3077" width="7.42578125" style="500" customWidth="1"/>
    <col min="3078" max="3079" width="0" style="500" hidden="1" customWidth="1"/>
    <col min="3080" max="3080" width="49" style="500" customWidth="1"/>
    <col min="3081" max="3081" width="31.28515625" style="500" customWidth="1"/>
    <col min="3082" max="3082" width="12.28515625" style="500" bestFit="1" customWidth="1"/>
    <col min="3083" max="3327" width="11.42578125" style="500"/>
    <col min="3328" max="3328" width="37" style="500" customWidth="1"/>
    <col min="3329" max="3329" width="7.28515625" style="500" bestFit="1" customWidth="1"/>
    <col min="3330" max="3331" width="17.140625" style="500" customWidth="1"/>
    <col min="3332" max="3332" width="17.85546875" style="500" customWidth="1"/>
    <col min="3333" max="3333" width="7.42578125" style="500" customWidth="1"/>
    <col min="3334" max="3335" width="0" style="500" hidden="1" customWidth="1"/>
    <col min="3336" max="3336" width="49" style="500" customWidth="1"/>
    <col min="3337" max="3337" width="31.28515625" style="500" customWidth="1"/>
    <col min="3338" max="3338" width="12.28515625" style="500" bestFit="1" customWidth="1"/>
    <col min="3339" max="3583" width="11.42578125" style="500"/>
    <col min="3584" max="3584" width="37" style="500" customWidth="1"/>
    <col min="3585" max="3585" width="7.28515625" style="500" bestFit="1" customWidth="1"/>
    <col min="3586" max="3587" width="17.140625" style="500" customWidth="1"/>
    <col min="3588" max="3588" width="17.85546875" style="500" customWidth="1"/>
    <col min="3589" max="3589" width="7.42578125" style="500" customWidth="1"/>
    <col min="3590" max="3591" width="0" style="500" hidden="1" customWidth="1"/>
    <col min="3592" max="3592" width="49" style="500" customWidth="1"/>
    <col min="3593" max="3593" width="31.28515625" style="500" customWidth="1"/>
    <col min="3594" max="3594" width="12.28515625" style="500" bestFit="1" customWidth="1"/>
    <col min="3595" max="3839" width="11.42578125" style="500"/>
    <col min="3840" max="3840" width="37" style="500" customWidth="1"/>
    <col min="3841" max="3841" width="7.28515625" style="500" bestFit="1" customWidth="1"/>
    <col min="3842" max="3843" width="17.140625" style="500" customWidth="1"/>
    <col min="3844" max="3844" width="17.85546875" style="500" customWidth="1"/>
    <col min="3845" max="3845" width="7.42578125" style="500" customWidth="1"/>
    <col min="3846" max="3847" width="0" style="500" hidden="1" customWidth="1"/>
    <col min="3848" max="3848" width="49" style="500" customWidth="1"/>
    <col min="3849" max="3849" width="31.28515625" style="500" customWidth="1"/>
    <col min="3850" max="3850" width="12.28515625" style="500" bestFit="1" customWidth="1"/>
    <col min="3851" max="4095" width="11.42578125" style="500"/>
    <col min="4096" max="4096" width="37" style="500" customWidth="1"/>
    <col min="4097" max="4097" width="7.28515625" style="500" bestFit="1" customWidth="1"/>
    <col min="4098" max="4099" width="17.140625" style="500" customWidth="1"/>
    <col min="4100" max="4100" width="17.85546875" style="500" customWidth="1"/>
    <col min="4101" max="4101" width="7.42578125" style="500" customWidth="1"/>
    <col min="4102" max="4103" width="0" style="500" hidden="1" customWidth="1"/>
    <col min="4104" max="4104" width="49" style="500" customWidth="1"/>
    <col min="4105" max="4105" width="31.28515625" style="500" customWidth="1"/>
    <col min="4106" max="4106" width="12.28515625" style="500" bestFit="1" customWidth="1"/>
    <col min="4107" max="4351" width="11.42578125" style="500"/>
    <col min="4352" max="4352" width="37" style="500" customWidth="1"/>
    <col min="4353" max="4353" width="7.28515625" style="500" bestFit="1" customWidth="1"/>
    <col min="4354" max="4355" width="17.140625" style="500" customWidth="1"/>
    <col min="4356" max="4356" width="17.85546875" style="500" customWidth="1"/>
    <col min="4357" max="4357" width="7.42578125" style="500" customWidth="1"/>
    <col min="4358" max="4359" width="0" style="500" hidden="1" customWidth="1"/>
    <col min="4360" max="4360" width="49" style="500" customWidth="1"/>
    <col min="4361" max="4361" width="31.28515625" style="500" customWidth="1"/>
    <col min="4362" max="4362" width="12.28515625" style="500" bestFit="1" customWidth="1"/>
    <col min="4363" max="4607" width="11.42578125" style="500"/>
    <col min="4608" max="4608" width="37" style="500" customWidth="1"/>
    <col min="4609" max="4609" width="7.28515625" style="500" bestFit="1" customWidth="1"/>
    <col min="4610" max="4611" width="17.140625" style="500" customWidth="1"/>
    <col min="4612" max="4612" width="17.85546875" style="500" customWidth="1"/>
    <col min="4613" max="4613" width="7.42578125" style="500" customWidth="1"/>
    <col min="4614" max="4615" width="0" style="500" hidden="1" customWidth="1"/>
    <col min="4616" max="4616" width="49" style="500" customWidth="1"/>
    <col min="4617" max="4617" width="31.28515625" style="500" customWidth="1"/>
    <col min="4618" max="4618" width="12.28515625" style="500" bestFit="1" customWidth="1"/>
    <col min="4619" max="4863" width="11.42578125" style="500"/>
    <col min="4864" max="4864" width="37" style="500" customWidth="1"/>
    <col min="4865" max="4865" width="7.28515625" style="500" bestFit="1" customWidth="1"/>
    <col min="4866" max="4867" width="17.140625" style="500" customWidth="1"/>
    <col min="4868" max="4868" width="17.85546875" style="500" customWidth="1"/>
    <col min="4869" max="4869" width="7.42578125" style="500" customWidth="1"/>
    <col min="4870" max="4871" width="0" style="500" hidden="1" customWidth="1"/>
    <col min="4872" max="4872" width="49" style="500" customWidth="1"/>
    <col min="4873" max="4873" width="31.28515625" style="500" customWidth="1"/>
    <col min="4874" max="4874" width="12.28515625" style="500" bestFit="1" customWidth="1"/>
    <col min="4875" max="5119" width="11.42578125" style="500"/>
    <col min="5120" max="5120" width="37" style="500" customWidth="1"/>
    <col min="5121" max="5121" width="7.28515625" style="500" bestFit="1" customWidth="1"/>
    <col min="5122" max="5123" width="17.140625" style="500" customWidth="1"/>
    <col min="5124" max="5124" width="17.85546875" style="500" customWidth="1"/>
    <col min="5125" max="5125" width="7.42578125" style="500" customWidth="1"/>
    <col min="5126" max="5127" width="0" style="500" hidden="1" customWidth="1"/>
    <col min="5128" max="5128" width="49" style="500" customWidth="1"/>
    <col min="5129" max="5129" width="31.28515625" style="500" customWidth="1"/>
    <col min="5130" max="5130" width="12.28515625" style="500" bestFit="1" customWidth="1"/>
    <col min="5131" max="5375" width="11.42578125" style="500"/>
    <col min="5376" max="5376" width="37" style="500" customWidth="1"/>
    <col min="5377" max="5377" width="7.28515625" style="500" bestFit="1" customWidth="1"/>
    <col min="5378" max="5379" width="17.140625" style="500" customWidth="1"/>
    <col min="5380" max="5380" width="17.85546875" style="500" customWidth="1"/>
    <col min="5381" max="5381" width="7.42578125" style="500" customWidth="1"/>
    <col min="5382" max="5383" width="0" style="500" hidden="1" customWidth="1"/>
    <col min="5384" max="5384" width="49" style="500" customWidth="1"/>
    <col min="5385" max="5385" width="31.28515625" style="500" customWidth="1"/>
    <col min="5386" max="5386" width="12.28515625" style="500" bestFit="1" customWidth="1"/>
    <col min="5387" max="5631" width="11.42578125" style="500"/>
    <col min="5632" max="5632" width="37" style="500" customWidth="1"/>
    <col min="5633" max="5633" width="7.28515625" style="500" bestFit="1" customWidth="1"/>
    <col min="5634" max="5635" width="17.140625" style="500" customWidth="1"/>
    <col min="5636" max="5636" width="17.85546875" style="500" customWidth="1"/>
    <col min="5637" max="5637" width="7.42578125" style="500" customWidth="1"/>
    <col min="5638" max="5639" width="0" style="500" hidden="1" customWidth="1"/>
    <col min="5640" max="5640" width="49" style="500" customWidth="1"/>
    <col min="5641" max="5641" width="31.28515625" style="500" customWidth="1"/>
    <col min="5642" max="5642" width="12.28515625" style="500" bestFit="1" customWidth="1"/>
    <col min="5643" max="5887" width="11.42578125" style="500"/>
    <col min="5888" max="5888" width="37" style="500" customWidth="1"/>
    <col min="5889" max="5889" width="7.28515625" style="500" bestFit="1" customWidth="1"/>
    <col min="5890" max="5891" width="17.140625" style="500" customWidth="1"/>
    <col min="5892" max="5892" width="17.85546875" style="500" customWidth="1"/>
    <col min="5893" max="5893" width="7.42578125" style="500" customWidth="1"/>
    <col min="5894" max="5895" width="0" style="500" hidden="1" customWidth="1"/>
    <col min="5896" max="5896" width="49" style="500" customWidth="1"/>
    <col min="5897" max="5897" width="31.28515625" style="500" customWidth="1"/>
    <col min="5898" max="5898" width="12.28515625" style="500" bestFit="1" customWidth="1"/>
    <col min="5899" max="6143" width="11.42578125" style="500"/>
    <col min="6144" max="6144" width="37" style="500" customWidth="1"/>
    <col min="6145" max="6145" width="7.28515625" style="500" bestFit="1" customWidth="1"/>
    <col min="6146" max="6147" width="17.140625" style="500" customWidth="1"/>
    <col min="6148" max="6148" width="17.85546875" style="500" customWidth="1"/>
    <col min="6149" max="6149" width="7.42578125" style="500" customWidth="1"/>
    <col min="6150" max="6151" width="0" style="500" hidden="1" customWidth="1"/>
    <col min="6152" max="6152" width="49" style="500" customWidth="1"/>
    <col min="6153" max="6153" width="31.28515625" style="500" customWidth="1"/>
    <col min="6154" max="6154" width="12.28515625" style="500" bestFit="1" customWidth="1"/>
    <col min="6155" max="6399" width="11.42578125" style="500"/>
    <col min="6400" max="6400" width="37" style="500" customWidth="1"/>
    <col min="6401" max="6401" width="7.28515625" style="500" bestFit="1" customWidth="1"/>
    <col min="6402" max="6403" width="17.140625" style="500" customWidth="1"/>
    <col min="6404" max="6404" width="17.85546875" style="500" customWidth="1"/>
    <col min="6405" max="6405" width="7.42578125" style="500" customWidth="1"/>
    <col min="6406" max="6407" width="0" style="500" hidden="1" customWidth="1"/>
    <col min="6408" max="6408" width="49" style="500" customWidth="1"/>
    <col min="6409" max="6409" width="31.28515625" style="500" customWidth="1"/>
    <col min="6410" max="6410" width="12.28515625" style="500" bestFit="1" customWidth="1"/>
    <col min="6411" max="6655" width="11.42578125" style="500"/>
    <col min="6656" max="6656" width="37" style="500" customWidth="1"/>
    <col min="6657" max="6657" width="7.28515625" style="500" bestFit="1" customWidth="1"/>
    <col min="6658" max="6659" width="17.140625" style="500" customWidth="1"/>
    <col min="6660" max="6660" width="17.85546875" style="500" customWidth="1"/>
    <col min="6661" max="6661" width="7.42578125" style="500" customWidth="1"/>
    <col min="6662" max="6663" width="0" style="500" hidden="1" customWidth="1"/>
    <col min="6664" max="6664" width="49" style="500" customWidth="1"/>
    <col min="6665" max="6665" width="31.28515625" style="500" customWidth="1"/>
    <col min="6666" max="6666" width="12.28515625" style="500" bestFit="1" customWidth="1"/>
    <col min="6667" max="6911" width="11.42578125" style="500"/>
    <col min="6912" max="6912" width="37" style="500" customWidth="1"/>
    <col min="6913" max="6913" width="7.28515625" style="500" bestFit="1" customWidth="1"/>
    <col min="6914" max="6915" width="17.140625" style="500" customWidth="1"/>
    <col min="6916" max="6916" width="17.85546875" style="500" customWidth="1"/>
    <col min="6917" max="6917" width="7.42578125" style="500" customWidth="1"/>
    <col min="6918" max="6919" width="0" style="500" hidden="1" customWidth="1"/>
    <col min="6920" max="6920" width="49" style="500" customWidth="1"/>
    <col min="6921" max="6921" width="31.28515625" style="500" customWidth="1"/>
    <col min="6922" max="6922" width="12.28515625" style="500" bestFit="1" customWidth="1"/>
    <col min="6923" max="7167" width="11.42578125" style="500"/>
    <col min="7168" max="7168" width="37" style="500" customWidth="1"/>
    <col min="7169" max="7169" width="7.28515625" style="500" bestFit="1" customWidth="1"/>
    <col min="7170" max="7171" width="17.140625" style="500" customWidth="1"/>
    <col min="7172" max="7172" width="17.85546875" style="500" customWidth="1"/>
    <col min="7173" max="7173" width="7.42578125" style="500" customWidth="1"/>
    <col min="7174" max="7175" width="0" style="500" hidden="1" customWidth="1"/>
    <col min="7176" max="7176" width="49" style="500" customWidth="1"/>
    <col min="7177" max="7177" width="31.28515625" style="500" customWidth="1"/>
    <col min="7178" max="7178" width="12.28515625" style="500" bestFit="1" customWidth="1"/>
    <col min="7179" max="7423" width="11.42578125" style="500"/>
    <col min="7424" max="7424" width="37" style="500" customWidth="1"/>
    <col min="7425" max="7425" width="7.28515625" style="500" bestFit="1" customWidth="1"/>
    <col min="7426" max="7427" width="17.140625" style="500" customWidth="1"/>
    <col min="7428" max="7428" width="17.85546875" style="500" customWidth="1"/>
    <col min="7429" max="7429" width="7.42578125" style="500" customWidth="1"/>
    <col min="7430" max="7431" width="0" style="500" hidden="1" customWidth="1"/>
    <col min="7432" max="7432" width="49" style="500" customWidth="1"/>
    <col min="7433" max="7433" width="31.28515625" style="500" customWidth="1"/>
    <col min="7434" max="7434" width="12.28515625" style="500" bestFit="1" customWidth="1"/>
    <col min="7435" max="7679" width="11.42578125" style="500"/>
    <col min="7680" max="7680" width="37" style="500" customWidth="1"/>
    <col min="7681" max="7681" width="7.28515625" style="500" bestFit="1" customWidth="1"/>
    <col min="7682" max="7683" width="17.140625" style="500" customWidth="1"/>
    <col min="7684" max="7684" width="17.85546875" style="500" customWidth="1"/>
    <col min="7685" max="7685" width="7.42578125" style="500" customWidth="1"/>
    <col min="7686" max="7687" width="0" style="500" hidden="1" customWidth="1"/>
    <col min="7688" max="7688" width="49" style="500" customWidth="1"/>
    <col min="7689" max="7689" width="31.28515625" style="500" customWidth="1"/>
    <col min="7690" max="7690" width="12.28515625" style="500" bestFit="1" customWidth="1"/>
    <col min="7691" max="7935" width="11.42578125" style="500"/>
    <col min="7936" max="7936" width="37" style="500" customWidth="1"/>
    <col min="7937" max="7937" width="7.28515625" style="500" bestFit="1" customWidth="1"/>
    <col min="7938" max="7939" width="17.140625" style="500" customWidth="1"/>
    <col min="7940" max="7940" width="17.85546875" style="500" customWidth="1"/>
    <col min="7941" max="7941" width="7.42578125" style="500" customWidth="1"/>
    <col min="7942" max="7943" width="0" style="500" hidden="1" customWidth="1"/>
    <col min="7944" max="7944" width="49" style="500" customWidth="1"/>
    <col min="7945" max="7945" width="31.28515625" style="500" customWidth="1"/>
    <col min="7946" max="7946" width="12.28515625" style="500" bestFit="1" customWidth="1"/>
    <col min="7947" max="8191" width="11.42578125" style="500"/>
    <col min="8192" max="8192" width="37" style="500" customWidth="1"/>
    <col min="8193" max="8193" width="7.28515625" style="500" bestFit="1" customWidth="1"/>
    <col min="8194" max="8195" width="17.140625" style="500" customWidth="1"/>
    <col min="8196" max="8196" width="17.85546875" style="500" customWidth="1"/>
    <col min="8197" max="8197" width="7.42578125" style="500" customWidth="1"/>
    <col min="8198" max="8199" width="0" style="500" hidden="1" customWidth="1"/>
    <col min="8200" max="8200" width="49" style="500" customWidth="1"/>
    <col min="8201" max="8201" width="31.28515625" style="500" customWidth="1"/>
    <col min="8202" max="8202" width="12.28515625" style="500" bestFit="1" customWidth="1"/>
    <col min="8203" max="8447" width="11.42578125" style="500"/>
    <col min="8448" max="8448" width="37" style="500" customWidth="1"/>
    <col min="8449" max="8449" width="7.28515625" style="500" bestFit="1" customWidth="1"/>
    <col min="8450" max="8451" width="17.140625" style="500" customWidth="1"/>
    <col min="8452" max="8452" width="17.85546875" style="500" customWidth="1"/>
    <col min="8453" max="8453" width="7.42578125" style="500" customWidth="1"/>
    <col min="8454" max="8455" width="0" style="500" hidden="1" customWidth="1"/>
    <col min="8456" max="8456" width="49" style="500" customWidth="1"/>
    <col min="8457" max="8457" width="31.28515625" style="500" customWidth="1"/>
    <col min="8458" max="8458" width="12.28515625" style="500" bestFit="1" customWidth="1"/>
    <col min="8459" max="8703" width="11.42578125" style="500"/>
    <col min="8704" max="8704" width="37" style="500" customWidth="1"/>
    <col min="8705" max="8705" width="7.28515625" style="500" bestFit="1" customWidth="1"/>
    <col min="8706" max="8707" width="17.140625" style="500" customWidth="1"/>
    <col min="8708" max="8708" width="17.85546875" style="500" customWidth="1"/>
    <col min="8709" max="8709" width="7.42578125" style="500" customWidth="1"/>
    <col min="8710" max="8711" width="0" style="500" hidden="1" customWidth="1"/>
    <col min="8712" max="8712" width="49" style="500" customWidth="1"/>
    <col min="8713" max="8713" width="31.28515625" style="500" customWidth="1"/>
    <col min="8714" max="8714" width="12.28515625" style="500" bestFit="1" customWidth="1"/>
    <col min="8715" max="8959" width="11.42578125" style="500"/>
    <col min="8960" max="8960" width="37" style="500" customWidth="1"/>
    <col min="8961" max="8961" width="7.28515625" style="500" bestFit="1" customWidth="1"/>
    <col min="8962" max="8963" width="17.140625" style="500" customWidth="1"/>
    <col min="8964" max="8964" width="17.85546875" style="500" customWidth="1"/>
    <col min="8965" max="8965" width="7.42578125" style="500" customWidth="1"/>
    <col min="8966" max="8967" width="0" style="500" hidden="1" customWidth="1"/>
    <col min="8968" max="8968" width="49" style="500" customWidth="1"/>
    <col min="8969" max="8969" width="31.28515625" style="500" customWidth="1"/>
    <col min="8970" max="8970" width="12.28515625" style="500" bestFit="1" customWidth="1"/>
    <col min="8971" max="9215" width="11.42578125" style="500"/>
    <col min="9216" max="9216" width="37" style="500" customWidth="1"/>
    <col min="9217" max="9217" width="7.28515625" style="500" bestFit="1" customWidth="1"/>
    <col min="9218" max="9219" width="17.140625" style="500" customWidth="1"/>
    <col min="9220" max="9220" width="17.85546875" style="500" customWidth="1"/>
    <col min="9221" max="9221" width="7.42578125" style="500" customWidth="1"/>
    <col min="9222" max="9223" width="0" style="500" hidden="1" customWidth="1"/>
    <col min="9224" max="9224" width="49" style="500" customWidth="1"/>
    <col min="9225" max="9225" width="31.28515625" style="500" customWidth="1"/>
    <col min="9226" max="9226" width="12.28515625" style="500" bestFit="1" customWidth="1"/>
    <col min="9227" max="9471" width="11.42578125" style="500"/>
    <col min="9472" max="9472" width="37" style="500" customWidth="1"/>
    <col min="9473" max="9473" width="7.28515625" style="500" bestFit="1" customWidth="1"/>
    <col min="9474" max="9475" width="17.140625" style="500" customWidth="1"/>
    <col min="9476" max="9476" width="17.85546875" style="500" customWidth="1"/>
    <col min="9477" max="9477" width="7.42578125" style="500" customWidth="1"/>
    <col min="9478" max="9479" width="0" style="500" hidden="1" customWidth="1"/>
    <col min="9480" max="9480" width="49" style="500" customWidth="1"/>
    <col min="9481" max="9481" width="31.28515625" style="500" customWidth="1"/>
    <col min="9482" max="9482" width="12.28515625" style="500" bestFit="1" customWidth="1"/>
    <col min="9483" max="9727" width="11.42578125" style="500"/>
    <col min="9728" max="9728" width="37" style="500" customWidth="1"/>
    <col min="9729" max="9729" width="7.28515625" style="500" bestFit="1" customWidth="1"/>
    <col min="9730" max="9731" width="17.140625" style="500" customWidth="1"/>
    <col min="9732" max="9732" width="17.85546875" style="500" customWidth="1"/>
    <col min="9733" max="9733" width="7.42578125" style="500" customWidth="1"/>
    <col min="9734" max="9735" width="0" style="500" hidden="1" customWidth="1"/>
    <col min="9736" max="9736" width="49" style="500" customWidth="1"/>
    <col min="9737" max="9737" width="31.28515625" style="500" customWidth="1"/>
    <col min="9738" max="9738" width="12.28515625" style="500" bestFit="1" customWidth="1"/>
    <col min="9739" max="9983" width="11.42578125" style="500"/>
    <col min="9984" max="9984" width="37" style="500" customWidth="1"/>
    <col min="9985" max="9985" width="7.28515625" style="500" bestFit="1" customWidth="1"/>
    <col min="9986" max="9987" width="17.140625" style="500" customWidth="1"/>
    <col min="9988" max="9988" width="17.85546875" style="500" customWidth="1"/>
    <col min="9989" max="9989" width="7.42578125" style="500" customWidth="1"/>
    <col min="9990" max="9991" width="0" style="500" hidden="1" customWidth="1"/>
    <col min="9992" max="9992" width="49" style="500" customWidth="1"/>
    <col min="9993" max="9993" width="31.28515625" style="500" customWidth="1"/>
    <col min="9994" max="9994" width="12.28515625" style="500" bestFit="1" customWidth="1"/>
    <col min="9995" max="10239" width="11.42578125" style="500"/>
    <col min="10240" max="10240" width="37" style="500" customWidth="1"/>
    <col min="10241" max="10241" width="7.28515625" style="500" bestFit="1" customWidth="1"/>
    <col min="10242" max="10243" width="17.140625" style="500" customWidth="1"/>
    <col min="10244" max="10244" width="17.85546875" style="500" customWidth="1"/>
    <col min="10245" max="10245" width="7.42578125" style="500" customWidth="1"/>
    <col min="10246" max="10247" width="0" style="500" hidden="1" customWidth="1"/>
    <col min="10248" max="10248" width="49" style="500" customWidth="1"/>
    <col min="10249" max="10249" width="31.28515625" style="500" customWidth="1"/>
    <col min="10250" max="10250" width="12.28515625" style="500" bestFit="1" customWidth="1"/>
    <col min="10251" max="10495" width="11.42578125" style="500"/>
    <col min="10496" max="10496" width="37" style="500" customWidth="1"/>
    <col min="10497" max="10497" width="7.28515625" style="500" bestFit="1" customWidth="1"/>
    <col min="10498" max="10499" width="17.140625" style="500" customWidth="1"/>
    <col min="10500" max="10500" width="17.85546875" style="500" customWidth="1"/>
    <col min="10501" max="10501" width="7.42578125" style="500" customWidth="1"/>
    <col min="10502" max="10503" width="0" style="500" hidden="1" customWidth="1"/>
    <col min="10504" max="10504" width="49" style="500" customWidth="1"/>
    <col min="10505" max="10505" width="31.28515625" style="500" customWidth="1"/>
    <col min="10506" max="10506" width="12.28515625" style="500" bestFit="1" customWidth="1"/>
    <col min="10507" max="10751" width="11.42578125" style="500"/>
    <col min="10752" max="10752" width="37" style="500" customWidth="1"/>
    <col min="10753" max="10753" width="7.28515625" style="500" bestFit="1" customWidth="1"/>
    <col min="10754" max="10755" width="17.140625" style="500" customWidth="1"/>
    <col min="10756" max="10756" width="17.85546875" style="500" customWidth="1"/>
    <col min="10757" max="10757" width="7.42578125" style="500" customWidth="1"/>
    <col min="10758" max="10759" width="0" style="500" hidden="1" customWidth="1"/>
    <col min="10760" max="10760" width="49" style="500" customWidth="1"/>
    <col min="10761" max="10761" width="31.28515625" style="500" customWidth="1"/>
    <col min="10762" max="10762" width="12.28515625" style="500" bestFit="1" customWidth="1"/>
    <col min="10763" max="11007" width="11.42578125" style="500"/>
    <col min="11008" max="11008" width="37" style="500" customWidth="1"/>
    <col min="11009" max="11009" width="7.28515625" style="500" bestFit="1" customWidth="1"/>
    <col min="11010" max="11011" width="17.140625" style="500" customWidth="1"/>
    <col min="11012" max="11012" width="17.85546875" style="500" customWidth="1"/>
    <col min="11013" max="11013" width="7.42578125" style="500" customWidth="1"/>
    <col min="11014" max="11015" width="0" style="500" hidden="1" customWidth="1"/>
    <col min="11016" max="11016" width="49" style="500" customWidth="1"/>
    <col min="11017" max="11017" width="31.28515625" style="500" customWidth="1"/>
    <col min="11018" max="11018" width="12.28515625" style="500" bestFit="1" customWidth="1"/>
    <col min="11019" max="11263" width="11.42578125" style="500"/>
    <col min="11264" max="11264" width="37" style="500" customWidth="1"/>
    <col min="11265" max="11265" width="7.28515625" style="500" bestFit="1" customWidth="1"/>
    <col min="11266" max="11267" width="17.140625" style="500" customWidth="1"/>
    <col min="11268" max="11268" width="17.85546875" style="500" customWidth="1"/>
    <col min="11269" max="11269" width="7.42578125" style="500" customWidth="1"/>
    <col min="11270" max="11271" width="0" style="500" hidden="1" customWidth="1"/>
    <col min="11272" max="11272" width="49" style="500" customWidth="1"/>
    <col min="11273" max="11273" width="31.28515625" style="500" customWidth="1"/>
    <col min="11274" max="11274" width="12.28515625" style="500" bestFit="1" customWidth="1"/>
    <col min="11275" max="11519" width="11.42578125" style="500"/>
    <col min="11520" max="11520" width="37" style="500" customWidth="1"/>
    <col min="11521" max="11521" width="7.28515625" style="500" bestFit="1" customWidth="1"/>
    <col min="11522" max="11523" width="17.140625" style="500" customWidth="1"/>
    <col min="11524" max="11524" width="17.85546875" style="500" customWidth="1"/>
    <col min="11525" max="11525" width="7.42578125" style="500" customWidth="1"/>
    <col min="11526" max="11527" width="0" style="500" hidden="1" customWidth="1"/>
    <col min="11528" max="11528" width="49" style="500" customWidth="1"/>
    <col min="11529" max="11529" width="31.28515625" style="500" customWidth="1"/>
    <col min="11530" max="11530" width="12.28515625" style="500" bestFit="1" customWidth="1"/>
    <col min="11531" max="11775" width="11.42578125" style="500"/>
    <col min="11776" max="11776" width="37" style="500" customWidth="1"/>
    <col min="11777" max="11777" width="7.28515625" style="500" bestFit="1" customWidth="1"/>
    <col min="11778" max="11779" width="17.140625" style="500" customWidth="1"/>
    <col min="11780" max="11780" width="17.85546875" style="500" customWidth="1"/>
    <col min="11781" max="11781" width="7.42578125" style="500" customWidth="1"/>
    <col min="11782" max="11783" width="0" style="500" hidden="1" customWidth="1"/>
    <col min="11784" max="11784" width="49" style="500" customWidth="1"/>
    <col min="11785" max="11785" width="31.28515625" style="500" customWidth="1"/>
    <col min="11786" max="11786" width="12.28515625" style="500" bestFit="1" customWidth="1"/>
    <col min="11787" max="12031" width="11.42578125" style="500"/>
    <col min="12032" max="12032" width="37" style="500" customWidth="1"/>
    <col min="12033" max="12033" width="7.28515625" style="500" bestFit="1" customWidth="1"/>
    <col min="12034" max="12035" width="17.140625" style="500" customWidth="1"/>
    <col min="12036" max="12036" width="17.85546875" style="500" customWidth="1"/>
    <col min="12037" max="12037" width="7.42578125" style="500" customWidth="1"/>
    <col min="12038" max="12039" width="0" style="500" hidden="1" customWidth="1"/>
    <col min="12040" max="12040" width="49" style="500" customWidth="1"/>
    <col min="12041" max="12041" width="31.28515625" style="500" customWidth="1"/>
    <col min="12042" max="12042" width="12.28515625" style="500" bestFit="1" customWidth="1"/>
    <col min="12043" max="12287" width="11.42578125" style="500"/>
    <col min="12288" max="12288" width="37" style="500" customWidth="1"/>
    <col min="12289" max="12289" width="7.28515625" style="500" bestFit="1" customWidth="1"/>
    <col min="12290" max="12291" width="17.140625" style="500" customWidth="1"/>
    <col min="12292" max="12292" width="17.85546875" style="500" customWidth="1"/>
    <col min="12293" max="12293" width="7.42578125" style="500" customWidth="1"/>
    <col min="12294" max="12295" width="0" style="500" hidden="1" customWidth="1"/>
    <col min="12296" max="12296" width="49" style="500" customWidth="1"/>
    <col min="12297" max="12297" width="31.28515625" style="500" customWidth="1"/>
    <col min="12298" max="12298" width="12.28515625" style="500" bestFit="1" customWidth="1"/>
    <col min="12299" max="12543" width="11.42578125" style="500"/>
    <col min="12544" max="12544" width="37" style="500" customWidth="1"/>
    <col min="12545" max="12545" width="7.28515625" style="500" bestFit="1" customWidth="1"/>
    <col min="12546" max="12547" width="17.140625" style="500" customWidth="1"/>
    <col min="12548" max="12548" width="17.85546875" style="500" customWidth="1"/>
    <col min="12549" max="12549" width="7.42578125" style="500" customWidth="1"/>
    <col min="12550" max="12551" width="0" style="500" hidden="1" customWidth="1"/>
    <col min="12552" max="12552" width="49" style="500" customWidth="1"/>
    <col min="12553" max="12553" width="31.28515625" style="500" customWidth="1"/>
    <col min="12554" max="12554" width="12.28515625" style="500" bestFit="1" customWidth="1"/>
    <col min="12555" max="12799" width="11.42578125" style="500"/>
    <col min="12800" max="12800" width="37" style="500" customWidth="1"/>
    <col min="12801" max="12801" width="7.28515625" style="500" bestFit="1" customWidth="1"/>
    <col min="12802" max="12803" width="17.140625" style="500" customWidth="1"/>
    <col min="12804" max="12804" width="17.85546875" style="500" customWidth="1"/>
    <col min="12805" max="12805" width="7.42578125" style="500" customWidth="1"/>
    <col min="12806" max="12807" width="0" style="500" hidden="1" customWidth="1"/>
    <col min="12808" max="12808" width="49" style="500" customWidth="1"/>
    <col min="12809" max="12809" width="31.28515625" style="500" customWidth="1"/>
    <col min="12810" max="12810" width="12.28515625" style="500" bestFit="1" customWidth="1"/>
    <col min="12811" max="13055" width="11.42578125" style="500"/>
    <col min="13056" max="13056" width="37" style="500" customWidth="1"/>
    <col min="13057" max="13057" width="7.28515625" style="500" bestFit="1" customWidth="1"/>
    <col min="13058" max="13059" width="17.140625" style="500" customWidth="1"/>
    <col min="13060" max="13060" width="17.85546875" style="500" customWidth="1"/>
    <col min="13061" max="13061" width="7.42578125" style="500" customWidth="1"/>
    <col min="13062" max="13063" width="0" style="500" hidden="1" customWidth="1"/>
    <col min="13064" max="13064" width="49" style="500" customWidth="1"/>
    <col min="13065" max="13065" width="31.28515625" style="500" customWidth="1"/>
    <col min="13066" max="13066" width="12.28515625" style="500" bestFit="1" customWidth="1"/>
    <col min="13067" max="13311" width="11.42578125" style="500"/>
    <col min="13312" max="13312" width="37" style="500" customWidth="1"/>
    <col min="13313" max="13313" width="7.28515625" style="500" bestFit="1" customWidth="1"/>
    <col min="13314" max="13315" width="17.140625" style="500" customWidth="1"/>
    <col min="13316" max="13316" width="17.85546875" style="500" customWidth="1"/>
    <col min="13317" max="13317" width="7.42578125" style="500" customWidth="1"/>
    <col min="13318" max="13319" width="0" style="500" hidden="1" customWidth="1"/>
    <col min="13320" max="13320" width="49" style="500" customWidth="1"/>
    <col min="13321" max="13321" width="31.28515625" style="500" customWidth="1"/>
    <col min="13322" max="13322" width="12.28515625" style="500" bestFit="1" customWidth="1"/>
    <col min="13323" max="13567" width="11.42578125" style="500"/>
    <col min="13568" max="13568" width="37" style="500" customWidth="1"/>
    <col min="13569" max="13569" width="7.28515625" style="500" bestFit="1" customWidth="1"/>
    <col min="13570" max="13571" width="17.140625" style="500" customWidth="1"/>
    <col min="13572" max="13572" width="17.85546875" style="500" customWidth="1"/>
    <col min="13573" max="13573" width="7.42578125" style="500" customWidth="1"/>
    <col min="13574" max="13575" width="0" style="500" hidden="1" customWidth="1"/>
    <col min="13576" max="13576" width="49" style="500" customWidth="1"/>
    <col min="13577" max="13577" width="31.28515625" style="500" customWidth="1"/>
    <col min="13578" max="13578" width="12.28515625" style="500" bestFit="1" customWidth="1"/>
    <col min="13579" max="13823" width="11.42578125" style="500"/>
    <col min="13824" max="13824" width="37" style="500" customWidth="1"/>
    <col min="13825" max="13825" width="7.28515625" style="500" bestFit="1" customWidth="1"/>
    <col min="13826" max="13827" width="17.140625" style="500" customWidth="1"/>
    <col min="13828" max="13828" width="17.85546875" style="500" customWidth="1"/>
    <col min="13829" max="13829" width="7.42578125" style="500" customWidth="1"/>
    <col min="13830" max="13831" width="0" style="500" hidden="1" customWidth="1"/>
    <col min="13832" max="13832" width="49" style="500" customWidth="1"/>
    <col min="13833" max="13833" width="31.28515625" style="500" customWidth="1"/>
    <col min="13834" max="13834" width="12.28515625" style="500" bestFit="1" customWidth="1"/>
    <col min="13835" max="14079" width="11.42578125" style="500"/>
    <col min="14080" max="14080" width="37" style="500" customWidth="1"/>
    <col min="14081" max="14081" width="7.28515625" style="500" bestFit="1" customWidth="1"/>
    <col min="14082" max="14083" width="17.140625" style="500" customWidth="1"/>
    <col min="14084" max="14084" width="17.85546875" style="500" customWidth="1"/>
    <col min="14085" max="14085" width="7.42578125" style="500" customWidth="1"/>
    <col min="14086" max="14087" width="0" style="500" hidden="1" customWidth="1"/>
    <col min="14088" max="14088" width="49" style="500" customWidth="1"/>
    <col min="14089" max="14089" width="31.28515625" style="500" customWidth="1"/>
    <col min="14090" max="14090" width="12.28515625" style="500" bestFit="1" customWidth="1"/>
    <col min="14091" max="14335" width="11.42578125" style="500"/>
    <col min="14336" max="14336" width="37" style="500" customWidth="1"/>
    <col min="14337" max="14337" width="7.28515625" style="500" bestFit="1" customWidth="1"/>
    <col min="14338" max="14339" width="17.140625" style="500" customWidth="1"/>
    <col min="14340" max="14340" width="17.85546875" style="500" customWidth="1"/>
    <col min="14341" max="14341" width="7.42578125" style="500" customWidth="1"/>
    <col min="14342" max="14343" width="0" style="500" hidden="1" customWidth="1"/>
    <col min="14344" max="14344" width="49" style="500" customWidth="1"/>
    <col min="14345" max="14345" width="31.28515625" style="500" customWidth="1"/>
    <col min="14346" max="14346" width="12.28515625" style="500" bestFit="1" customWidth="1"/>
    <col min="14347" max="14591" width="11.42578125" style="500"/>
    <col min="14592" max="14592" width="37" style="500" customWidth="1"/>
    <col min="14593" max="14593" width="7.28515625" style="500" bestFit="1" customWidth="1"/>
    <col min="14594" max="14595" width="17.140625" style="500" customWidth="1"/>
    <col min="14596" max="14596" width="17.85546875" style="500" customWidth="1"/>
    <col min="14597" max="14597" width="7.42578125" style="500" customWidth="1"/>
    <col min="14598" max="14599" width="0" style="500" hidden="1" customWidth="1"/>
    <col min="14600" max="14600" width="49" style="500" customWidth="1"/>
    <col min="14601" max="14601" width="31.28515625" style="500" customWidth="1"/>
    <col min="14602" max="14602" width="12.28515625" style="500" bestFit="1" customWidth="1"/>
    <col min="14603" max="14847" width="11.42578125" style="500"/>
    <col min="14848" max="14848" width="37" style="500" customWidth="1"/>
    <col min="14849" max="14849" width="7.28515625" style="500" bestFit="1" customWidth="1"/>
    <col min="14850" max="14851" width="17.140625" style="500" customWidth="1"/>
    <col min="14852" max="14852" width="17.85546875" style="500" customWidth="1"/>
    <col min="14853" max="14853" width="7.42578125" style="500" customWidth="1"/>
    <col min="14854" max="14855" width="0" style="500" hidden="1" customWidth="1"/>
    <col min="14856" max="14856" width="49" style="500" customWidth="1"/>
    <col min="14857" max="14857" width="31.28515625" style="500" customWidth="1"/>
    <col min="14858" max="14858" width="12.28515625" style="500" bestFit="1" customWidth="1"/>
    <col min="14859" max="15103" width="11.42578125" style="500"/>
    <col min="15104" max="15104" width="37" style="500" customWidth="1"/>
    <col min="15105" max="15105" width="7.28515625" style="500" bestFit="1" customWidth="1"/>
    <col min="15106" max="15107" width="17.140625" style="500" customWidth="1"/>
    <col min="15108" max="15108" width="17.85546875" style="500" customWidth="1"/>
    <col min="15109" max="15109" width="7.42578125" style="500" customWidth="1"/>
    <col min="15110" max="15111" width="0" style="500" hidden="1" customWidth="1"/>
    <col min="15112" max="15112" width="49" style="500" customWidth="1"/>
    <col min="15113" max="15113" width="31.28515625" style="500" customWidth="1"/>
    <col min="15114" max="15114" width="12.28515625" style="500" bestFit="1" customWidth="1"/>
    <col min="15115" max="15359" width="11.42578125" style="500"/>
    <col min="15360" max="15360" width="37" style="500" customWidth="1"/>
    <col min="15361" max="15361" width="7.28515625" style="500" bestFit="1" customWidth="1"/>
    <col min="15362" max="15363" width="17.140625" style="500" customWidth="1"/>
    <col min="15364" max="15364" width="17.85546875" style="500" customWidth="1"/>
    <col min="15365" max="15365" width="7.42578125" style="500" customWidth="1"/>
    <col min="15366" max="15367" width="0" style="500" hidden="1" customWidth="1"/>
    <col min="15368" max="15368" width="49" style="500" customWidth="1"/>
    <col min="15369" max="15369" width="31.28515625" style="500" customWidth="1"/>
    <col min="15370" max="15370" width="12.28515625" style="500" bestFit="1" customWidth="1"/>
    <col min="15371" max="15615" width="11.42578125" style="500"/>
    <col min="15616" max="15616" width="37" style="500" customWidth="1"/>
    <col min="15617" max="15617" width="7.28515625" style="500" bestFit="1" customWidth="1"/>
    <col min="15618" max="15619" width="17.140625" style="500" customWidth="1"/>
    <col min="15620" max="15620" width="17.85546875" style="500" customWidth="1"/>
    <col min="15621" max="15621" width="7.42578125" style="500" customWidth="1"/>
    <col min="15622" max="15623" width="0" style="500" hidden="1" customWidth="1"/>
    <col min="15624" max="15624" width="49" style="500" customWidth="1"/>
    <col min="15625" max="15625" width="31.28515625" style="500" customWidth="1"/>
    <col min="15626" max="15626" width="12.28515625" style="500" bestFit="1" customWidth="1"/>
    <col min="15627" max="15871" width="11.42578125" style="500"/>
    <col min="15872" max="15872" width="37" style="500" customWidth="1"/>
    <col min="15873" max="15873" width="7.28515625" style="500" bestFit="1" customWidth="1"/>
    <col min="15874" max="15875" width="17.140625" style="500" customWidth="1"/>
    <col min="15876" max="15876" width="17.85546875" style="500" customWidth="1"/>
    <col min="15877" max="15877" width="7.42578125" style="500" customWidth="1"/>
    <col min="15878" max="15879" width="0" style="500" hidden="1" customWidth="1"/>
    <col min="15880" max="15880" width="49" style="500" customWidth="1"/>
    <col min="15881" max="15881" width="31.28515625" style="500" customWidth="1"/>
    <col min="15882" max="15882" width="12.28515625" style="500" bestFit="1" customWidth="1"/>
    <col min="15883" max="16127" width="11.42578125" style="500"/>
    <col min="16128" max="16128" width="37" style="500" customWidth="1"/>
    <col min="16129" max="16129" width="7.28515625" style="500" bestFit="1" customWidth="1"/>
    <col min="16130" max="16131" width="17.140625" style="500" customWidth="1"/>
    <col min="16132" max="16132" width="17.85546875" style="500" customWidth="1"/>
    <col min="16133" max="16133" width="7.42578125" style="500" customWidth="1"/>
    <col min="16134" max="16135" width="0" style="500" hidden="1" customWidth="1"/>
    <col min="16136" max="16136" width="49" style="500" customWidth="1"/>
    <col min="16137" max="16137" width="31.28515625" style="500" customWidth="1"/>
    <col min="16138" max="16138" width="12.28515625" style="500" bestFit="1" customWidth="1"/>
    <col min="16139" max="16384" width="11.42578125" style="500"/>
  </cols>
  <sheetData>
    <row r="1" spans="1:27">
      <c r="A1" s="499" t="s">
        <v>49</v>
      </c>
      <c r="B1" s="499"/>
      <c r="C1" s="499"/>
      <c r="D1" s="499"/>
    </row>
    <row r="2" spans="1:27">
      <c r="A2" s="499" t="s">
        <v>50</v>
      </c>
      <c r="B2" s="499"/>
      <c r="C2" s="499"/>
      <c r="D2" s="499"/>
    </row>
    <row r="3" spans="1:27">
      <c r="A3" s="855" t="s">
        <v>366</v>
      </c>
      <c r="B3" s="855"/>
      <c r="C3" s="855"/>
      <c r="D3" s="855"/>
      <c r="E3" s="855"/>
    </row>
    <row r="4" spans="1:27">
      <c r="A4" s="855" t="s">
        <v>52</v>
      </c>
      <c r="B4" s="855"/>
      <c r="C4" s="855"/>
      <c r="D4" s="855"/>
      <c r="E4" s="855"/>
    </row>
    <row r="5" spans="1:27">
      <c r="A5" s="50"/>
      <c r="B5" s="390"/>
      <c r="C5" s="390"/>
      <c r="D5" s="391"/>
      <c r="E5" s="391"/>
    </row>
    <row r="6" spans="1:27" ht="15.75">
      <c r="B6" s="390">
        <v>43922</v>
      </c>
      <c r="C6" s="390">
        <v>43891</v>
      </c>
      <c r="D6" s="501" t="s">
        <v>545</v>
      </c>
      <c r="E6" s="501" t="s">
        <v>17</v>
      </c>
      <c r="F6" s="502">
        <v>2009</v>
      </c>
      <c r="G6" s="502">
        <v>2008</v>
      </c>
      <c r="H6" s="389"/>
      <c r="I6" s="514"/>
      <c r="N6" s="389"/>
      <c r="O6" s="389"/>
      <c r="P6" s="389"/>
      <c r="Q6" s="389"/>
      <c r="R6" s="389"/>
      <c r="S6" s="389"/>
      <c r="T6" s="389"/>
      <c r="U6" s="389"/>
      <c r="V6" s="389"/>
      <c r="W6" s="389"/>
      <c r="X6" s="389"/>
      <c r="Y6" s="389"/>
      <c r="Z6" s="389"/>
      <c r="AA6" s="389"/>
    </row>
    <row r="7" spans="1:27" ht="19.5" customHeight="1">
      <c r="A7" s="503" t="s">
        <v>0</v>
      </c>
      <c r="B7" s="504"/>
      <c r="C7" s="504"/>
      <c r="F7" s="504"/>
      <c r="G7" s="504"/>
      <c r="H7" s="389"/>
      <c r="I7" s="593"/>
      <c r="J7" s="542">
        <f>+I7-B25</f>
        <v>-270696259.90999985</v>
      </c>
      <c r="N7" s="389"/>
      <c r="O7" s="389"/>
      <c r="P7" s="389"/>
      <c r="Q7" s="389"/>
      <c r="R7" s="389"/>
      <c r="S7" s="389"/>
      <c r="T7" s="389"/>
      <c r="U7" s="389"/>
      <c r="V7" s="389"/>
      <c r="W7" s="389"/>
      <c r="X7" s="389"/>
      <c r="Y7" s="389"/>
      <c r="Z7" s="389"/>
      <c r="AA7" s="389"/>
    </row>
    <row r="8" spans="1:27" s="508" customFormat="1" ht="19.5" customHeight="1">
      <c r="A8" s="509" t="s">
        <v>55</v>
      </c>
      <c r="B8" s="511">
        <f>SUM(B9:B10)</f>
        <v>185259901.90999985</v>
      </c>
      <c r="C8" s="511">
        <f>SUM(C9:C10)</f>
        <v>172446000.91</v>
      </c>
      <c r="D8" s="511">
        <f>SUM(D9:D10)</f>
        <v>12813900.999999851</v>
      </c>
      <c r="E8" s="512">
        <f>+B8/C8-1</f>
        <v>7.4306744907859379E-2</v>
      </c>
      <c r="F8" s="511">
        <f>SUM(F9:F10)</f>
        <v>0</v>
      </c>
      <c r="G8" s="511">
        <f>SUM(G9:G10)</f>
        <v>0</v>
      </c>
      <c r="H8" s="389"/>
      <c r="I8" s="593"/>
      <c r="J8" s="531"/>
      <c r="N8" s="389"/>
      <c r="O8" s="389"/>
      <c r="P8" s="389"/>
      <c r="Q8" s="389"/>
      <c r="R8" s="389"/>
      <c r="S8" s="389"/>
      <c r="T8" s="389"/>
      <c r="U8" s="389"/>
      <c r="V8" s="389"/>
      <c r="W8" s="389"/>
      <c r="X8" s="389"/>
      <c r="Y8" s="389"/>
      <c r="Z8" s="389"/>
      <c r="AA8" s="389"/>
    </row>
    <row r="9" spans="1:27" s="508" customFormat="1" ht="15.75">
      <c r="A9" s="513" t="s">
        <v>56</v>
      </c>
      <c r="B9" s="514">
        <v>600000</v>
      </c>
      <c r="C9" s="514">
        <v>600000</v>
      </c>
      <c r="D9" s="515">
        <f>+B9-C9</f>
        <v>0</v>
      </c>
      <c r="E9" s="516">
        <f>IF(C9=0,0,D9/C9)</f>
        <v>0</v>
      </c>
      <c r="F9" s="517"/>
      <c r="G9" s="517"/>
      <c r="H9" s="389"/>
      <c r="I9" s="593"/>
      <c r="N9" s="389"/>
      <c r="O9" s="389"/>
      <c r="P9" s="389"/>
      <c r="Q9" s="389"/>
      <c r="R9" s="389"/>
      <c r="S9" s="389"/>
      <c r="T9" s="389"/>
      <c r="U9" s="389"/>
      <c r="V9" s="389"/>
      <c r="W9" s="389"/>
      <c r="X9" s="389"/>
      <c r="Y9" s="389"/>
      <c r="Z9" s="389"/>
      <c r="AA9" s="389"/>
    </row>
    <row r="10" spans="1:27" s="508" customFormat="1" ht="15.75">
      <c r="A10" s="513" t="s">
        <v>1</v>
      </c>
      <c r="B10" s="514">
        <v>184659901.90999985</v>
      </c>
      <c r="C10" s="514">
        <f>171846000.91</f>
        <v>171846000.91</v>
      </c>
      <c r="D10" s="515">
        <f>+B10-C10</f>
        <v>12813900.999999851</v>
      </c>
      <c r="E10" s="516">
        <f>IF(C10=0,0,D10/C10)</f>
        <v>7.4566186772718715E-2</v>
      </c>
      <c r="F10" s="517"/>
      <c r="G10" s="517"/>
      <c r="H10" s="389"/>
      <c r="I10" s="593"/>
      <c r="N10" s="389"/>
      <c r="O10" s="389"/>
      <c r="P10" s="389"/>
      <c r="Q10" s="389"/>
      <c r="R10" s="389"/>
      <c r="S10" s="389"/>
      <c r="T10" s="389"/>
      <c r="U10" s="389"/>
      <c r="V10" s="389"/>
      <c r="W10" s="389"/>
      <c r="X10" s="389"/>
      <c r="Y10" s="389"/>
      <c r="Z10" s="389"/>
      <c r="AA10" s="389"/>
    </row>
    <row r="11" spans="1:27" s="508" customFormat="1" ht="21" customHeight="1">
      <c r="A11" s="509" t="s">
        <v>546</v>
      </c>
      <c r="B11" s="645">
        <v>722705</v>
      </c>
      <c r="C11" s="645">
        <v>866163.54000005126</v>
      </c>
      <c r="D11" s="511">
        <f>+B11-C11</f>
        <v>-143458.54000005126</v>
      </c>
      <c r="E11" s="512">
        <f>+B11/C11-1</f>
        <v>-0.16562523516060579</v>
      </c>
      <c r="F11" s="511"/>
      <c r="G11" s="511"/>
      <c r="H11" s="601"/>
      <c r="I11" s="593"/>
      <c r="J11" s="521"/>
      <c r="N11" s="389"/>
      <c r="O11" s="389"/>
      <c r="P11" s="389"/>
      <c r="Q11" s="389"/>
      <c r="R11" s="389"/>
      <c r="S11" s="389"/>
      <c r="T11" s="389"/>
      <c r="U11" s="389"/>
      <c r="V11" s="389"/>
      <c r="W11" s="389"/>
      <c r="X11" s="389"/>
      <c r="Y11" s="389"/>
      <c r="Z11" s="389"/>
      <c r="AA11" s="389"/>
    </row>
    <row r="12" spans="1:27" s="508" customFormat="1" ht="24.75" customHeight="1">
      <c r="A12" s="509" t="s">
        <v>61</v>
      </c>
      <c r="B12" s="511">
        <f>SUM(B13:B17)</f>
        <v>82455778</v>
      </c>
      <c r="C12" s="511">
        <f>SUM(C13:C17)</f>
        <v>73662478</v>
      </c>
      <c r="D12" s="511">
        <f>SUM(D13:D17)</f>
        <v>8793300</v>
      </c>
      <c r="E12" s="512">
        <f>+B12/C12-1</f>
        <v>0.119372850856307</v>
      </c>
      <c r="F12" s="511">
        <f>SUM(F13:F16)</f>
        <v>35625500</v>
      </c>
      <c r="G12" s="511">
        <f>SUM(G13:G16)</f>
        <v>30767660</v>
      </c>
      <c r="H12" s="389"/>
      <c r="I12" s="593"/>
      <c r="J12" s="390">
        <v>43800</v>
      </c>
      <c r="K12" s="508" t="s">
        <v>703</v>
      </c>
      <c r="N12" s="389"/>
      <c r="O12" s="389"/>
      <c r="P12" s="389"/>
      <c r="Q12" s="389"/>
      <c r="R12" s="389"/>
      <c r="S12" s="389"/>
      <c r="T12" s="389"/>
      <c r="U12" s="389"/>
      <c r="V12" s="389"/>
      <c r="W12" s="389"/>
      <c r="X12" s="389"/>
      <c r="Y12" s="389"/>
      <c r="Z12" s="389"/>
      <c r="AA12" s="389"/>
    </row>
    <row r="13" spans="1:27" s="508" customFormat="1" ht="15.75">
      <c r="A13" s="513" t="s">
        <v>62</v>
      </c>
      <c r="B13" s="514">
        <v>80563304</v>
      </c>
      <c r="C13" s="514">
        <v>71958254</v>
      </c>
      <c r="D13" s="515">
        <f t="shared" ref="D13:D18" si="0">+B13-C13</f>
        <v>8605050</v>
      </c>
      <c r="E13" s="516">
        <f t="shared" ref="E13:E17" si="1">IF(C13=0,0,D13/C13)</f>
        <v>0.11958391875378188</v>
      </c>
      <c r="F13" s="518">
        <v>33892500</v>
      </c>
      <c r="G13" s="518">
        <v>29624680</v>
      </c>
      <c r="H13" s="389"/>
      <c r="I13" s="593"/>
      <c r="J13" s="514">
        <f>+'[3]comp (2)'!$C$17</f>
        <v>75083344</v>
      </c>
      <c r="K13" s="543">
        <f>+B13-J13</f>
        <v>5479960</v>
      </c>
      <c r="L13" s="516">
        <f t="shared" ref="L13:L17" si="2">IF(J13=0,0,K13/J13)</f>
        <v>7.298502847715467E-2</v>
      </c>
      <c r="N13" s="601"/>
      <c r="O13" s="389"/>
      <c r="P13" s="389"/>
      <c r="Q13" s="389"/>
      <c r="R13" s="389"/>
      <c r="S13" s="389"/>
      <c r="T13" s="389"/>
      <c r="U13" s="389"/>
      <c r="V13" s="389"/>
      <c r="W13" s="389"/>
      <c r="X13" s="389"/>
      <c r="Y13" s="389"/>
      <c r="Z13" s="389"/>
      <c r="AA13" s="389"/>
    </row>
    <row r="14" spans="1:27" s="508" customFormat="1" ht="15.75">
      <c r="A14" s="513" t="s">
        <v>63</v>
      </c>
      <c r="B14" s="514">
        <v>2468550</v>
      </c>
      <c r="C14" s="514">
        <v>2468550</v>
      </c>
      <c r="D14" s="515">
        <f t="shared" si="0"/>
        <v>0</v>
      </c>
      <c r="E14" s="516">
        <f t="shared" si="1"/>
        <v>0</v>
      </c>
      <c r="F14" s="518"/>
      <c r="G14" s="518">
        <v>20000</v>
      </c>
      <c r="H14" s="389"/>
      <c r="I14" s="593"/>
      <c r="J14" s="514">
        <f>+'[3]comp (2)'!$C$18</f>
        <v>3610200</v>
      </c>
      <c r="K14" s="543">
        <f>+B14-J14</f>
        <v>-1141650</v>
      </c>
      <c r="L14" s="516">
        <f t="shared" si="2"/>
        <v>-0.31622901778294832</v>
      </c>
      <c r="N14" s="601"/>
      <c r="O14" s="389"/>
      <c r="P14" s="389"/>
      <c r="Q14" s="389"/>
      <c r="R14" s="389"/>
      <c r="S14" s="389"/>
      <c r="T14" s="389"/>
      <c r="U14" s="389"/>
      <c r="V14" s="389"/>
      <c r="W14" s="389"/>
      <c r="X14" s="389"/>
      <c r="Y14" s="389"/>
      <c r="Z14" s="389"/>
      <c r="AA14" s="389"/>
    </row>
    <row r="15" spans="1:27" s="508" customFormat="1" ht="15.75">
      <c r="A15" s="523" t="s">
        <v>64</v>
      </c>
      <c r="B15" s="514">
        <f>173000+1042000</f>
        <v>1215000</v>
      </c>
      <c r="C15" s="514">
        <f>8000+936000</f>
        <v>944000</v>
      </c>
      <c r="D15" s="515">
        <f t="shared" si="0"/>
        <v>271000</v>
      </c>
      <c r="E15" s="516">
        <f t="shared" si="1"/>
        <v>0.28707627118644069</v>
      </c>
      <c r="F15" s="518">
        <f>900000+178000</f>
        <v>1078000</v>
      </c>
      <c r="G15" s="518">
        <v>420000</v>
      </c>
      <c r="H15" s="389"/>
      <c r="I15" s="593"/>
      <c r="J15" s="514">
        <f>+'[3]comp (2)'!$C$19</f>
        <v>2740800</v>
      </c>
      <c r="K15" s="543">
        <f>+B15-J15</f>
        <v>-1525800</v>
      </c>
      <c r="L15" s="516">
        <f t="shared" si="2"/>
        <v>-0.55669877408056045</v>
      </c>
      <c r="N15" s="389"/>
      <c r="O15" s="389"/>
      <c r="P15" s="389"/>
      <c r="Q15" s="389"/>
      <c r="R15" s="389"/>
      <c r="S15" s="389"/>
      <c r="T15" s="389"/>
      <c r="U15" s="389"/>
      <c r="V15" s="389"/>
      <c r="W15" s="389"/>
      <c r="X15" s="389"/>
      <c r="Y15" s="389"/>
      <c r="Z15" s="389"/>
      <c r="AA15" s="389"/>
    </row>
    <row r="16" spans="1:27" s="508" customFormat="1" ht="15.75">
      <c r="A16" s="513" t="s">
        <v>547</v>
      </c>
      <c r="B16" s="514">
        <f>18100+75400+928600</f>
        <v>1022100</v>
      </c>
      <c r="C16" s="514">
        <f>1011350+18100+75400</f>
        <v>1104850</v>
      </c>
      <c r="D16" s="515">
        <f t="shared" si="0"/>
        <v>-82750</v>
      </c>
      <c r="E16" s="516">
        <f t="shared" si="1"/>
        <v>-7.4897044847716879E-2</v>
      </c>
      <c r="F16" s="518">
        <f>162000+206000+287000</f>
        <v>655000</v>
      </c>
      <c r="G16" s="518">
        <f>632000+70980</f>
        <v>702980</v>
      </c>
      <c r="H16" s="389"/>
      <c r="I16" s="593"/>
      <c r="J16" s="514">
        <f>+'[3]comp (2)'!$C$20</f>
        <v>2797900</v>
      </c>
      <c r="K16" s="543">
        <f>+B16-J16</f>
        <v>-1775800</v>
      </c>
      <c r="L16" s="516">
        <f t="shared" si="2"/>
        <v>-0.63469030344186717</v>
      </c>
      <c r="N16" s="389"/>
      <c r="O16" s="389"/>
      <c r="P16" s="389"/>
      <c r="Q16" s="389"/>
      <c r="R16" s="389"/>
      <c r="S16" s="389"/>
      <c r="T16" s="389"/>
      <c r="U16" s="389"/>
      <c r="V16" s="389"/>
      <c r="W16" s="389"/>
      <c r="X16" s="389"/>
      <c r="Y16" s="389"/>
      <c r="Z16" s="389"/>
      <c r="AA16" s="389"/>
    </row>
    <row r="17" spans="1:27" s="508" customFormat="1" ht="15.75">
      <c r="A17" s="513" t="s">
        <v>66</v>
      </c>
      <c r="B17" s="514">
        <v>-2813176</v>
      </c>
      <c r="C17" s="514">
        <v>-2813176</v>
      </c>
      <c r="D17" s="515">
        <f t="shared" si="0"/>
        <v>0</v>
      </c>
      <c r="E17" s="516">
        <f t="shared" si="1"/>
        <v>0</v>
      </c>
      <c r="F17" s="518"/>
      <c r="G17" s="518"/>
      <c r="H17" s="389"/>
      <c r="I17" s="593"/>
      <c r="J17" s="600">
        <f>SUM(J13:J16)</f>
        <v>84232244</v>
      </c>
      <c r="K17" s="600">
        <f>SUM(K13:K16)</f>
        <v>1036710</v>
      </c>
      <c r="L17" s="516">
        <f t="shared" si="2"/>
        <v>1.2307757110210669E-2</v>
      </c>
      <c r="N17" s="389"/>
      <c r="O17" s="389"/>
      <c r="P17" s="389"/>
      <c r="Q17" s="389"/>
      <c r="R17" s="389"/>
      <c r="S17" s="389"/>
      <c r="T17" s="389"/>
      <c r="U17" s="389"/>
      <c r="V17" s="389"/>
      <c r="W17" s="389"/>
      <c r="X17" s="389"/>
      <c r="Y17" s="389"/>
      <c r="Z17" s="389"/>
      <c r="AA17" s="389"/>
    </row>
    <row r="18" spans="1:27" s="508" customFormat="1" ht="23.25" customHeight="1">
      <c r="A18" s="509" t="s">
        <v>67</v>
      </c>
      <c r="B18" s="520">
        <v>-20887675</v>
      </c>
      <c r="C18" s="520">
        <v>-20887675</v>
      </c>
      <c r="D18" s="511">
        <f t="shared" si="0"/>
        <v>0</v>
      </c>
      <c r="E18" s="512">
        <f>+B18/C18-1</f>
        <v>0</v>
      </c>
      <c r="F18" s="511"/>
      <c r="G18" s="511"/>
      <c r="H18" s="389"/>
      <c r="I18" s="593"/>
      <c r="N18" s="389"/>
      <c r="O18" s="389"/>
      <c r="P18" s="389"/>
      <c r="Q18" s="389"/>
      <c r="R18" s="389"/>
      <c r="S18" s="389"/>
      <c r="T18" s="389"/>
      <c r="U18" s="389"/>
      <c r="V18" s="389"/>
      <c r="W18" s="389"/>
      <c r="X18" s="389"/>
      <c r="Y18" s="389"/>
      <c r="Z18" s="389"/>
      <c r="AA18" s="389"/>
    </row>
    <row r="19" spans="1:27" s="508" customFormat="1" ht="24.75" customHeight="1">
      <c r="A19" s="509" t="s">
        <v>68</v>
      </c>
      <c r="B19" s="511">
        <f>SUM(B20:B22)</f>
        <v>8848654</v>
      </c>
      <c r="C19" s="511">
        <f>SUM(C20:C22)</f>
        <v>5340824</v>
      </c>
      <c r="D19" s="511">
        <f>SUM(D20:D22)</f>
        <v>3507830</v>
      </c>
      <c r="E19" s="512">
        <f>+B19/C19-1</f>
        <v>0.65679565550184771</v>
      </c>
      <c r="F19" s="511">
        <f>+F20+F22</f>
        <v>0</v>
      </c>
      <c r="G19" s="511">
        <f>+G20+G22</f>
        <v>0</v>
      </c>
      <c r="H19" s="389"/>
      <c r="I19" s="593"/>
      <c r="N19" s="389"/>
      <c r="O19" s="389"/>
      <c r="P19" s="389"/>
      <c r="Q19" s="389"/>
      <c r="R19" s="389"/>
      <c r="S19" s="389"/>
      <c r="T19" s="389"/>
      <c r="U19" s="389"/>
      <c r="V19" s="389"/>
      <c r="W19" s="389"/>
      <c r="X19" s="389"/>
      <c r="Y19" s="389"/>
      <c r="Z19" s="389"/>
      <c r="AA19" s="389"/>
    </row>
    <row r="20" spans="1:27" s="508" customFormat="1" ht="15.75">
      <c r="A20" s="513" t="s">
        <v>548</v>
      </c>
      <c r="B20" s="514">
        <v>6516754</v>
      </c>
      <c r="C20" s="514">
        <v>5246124</v>
      </c>
      <c r="D20" s="515">
        <f>+B20-C20</f>
        <v>1270630</v>
      </c>
      <c r="E20" s="516">
        <f>IF(C20=0,0,D20/C20)</f>
        <v>0.24220357734586526</v>
      </c>
      <c r="F20" s="518"/>
      <c r="G20" s="518"/>
      <c r="H20" s="389"/>
      <c r="I20" s="593"/>
      <c r="J20" s="521"/>
      <c r="N20" s="389"/>
      <c r="O20" s="389"/>
      <c r="P20" s="389"/>
      <c r="Q20" s="389"/>
      <c r="R20" s="389"/>
      <c r="S20" s="389"/>
      <c r="T20" s="389"/>
      <c r="U20" s="389"/>
      <c r="V20" s="389"/>
      <c r="W20" s="389"/>
      <c r="X20" s="389"/>
      <c r="Y20" s="389"/>
      <c r="Z20" s="389"/>
      <c r="AA20" s="389"/>
    </row>
    <row r="21" spans="1:27" s="508" customFormat="1" ht="15.75">
      <c r="A21" s="513" t="s">
        <v>1020</v>
      </c>
      <c r="B21" s="514">
        <v>2237200</v>
      </c>
      <c r="C21" s="514"/>
      <c r="D21" s="515">
        <f>+B21-C21</f>
        <v>2237200</v>
      </c>
      <c r="E21" s="516">
        <f>IF(C21=0,0,D21/C21)</f>
        <v>0</v>
      </c>
      <c r="F21" s="518"/>
      <c r="G21" s="518"/>
      <c r="H21" s="389"/>
      <c r="I21" s="593"/>
      <c r="J21" s="521"/>
      <c r="N21" s="389"/>
      <c r="O21" s="389"/>
      <c r="P21" s="389"/>
      <c r="Q21" s="389"/>
      <c r="R21" s="389"/>
      <c r="S21" s="389"/>
      <c r="T21" s="389"/>
      <c r="U21" s="389"/>
      <c r="V21" s="389"/>
      <c r="W21" s="389"/>
      <c r="X21" s="389"/>
      <c r="Y21" s="389"/>
      <c r="Z21" s="389"/>
      <c r="AA21" s="389"/>
    </row>
    <row r="22" spans="1:27" s="508" customFormat="1" ht="15.75">
      <c r="A22" s="513" t="s">
        <v>686</v>
      </c>
      <c r="B22" s="514">
        <v>94700</v>
      </c>
      <c r="C22" s="514">
        <v>94700</v>
      </c>
      <c r="D22" s="515">
        <f>+B22-C22</f>
        <v>0</v>
      </c>
      <c r="E22" s="516">
        <f>IF(C22=0,0,D22/C22)</f>
        <v>0</v>
      </c>
      <c r="F22" s="518"/>
      <c r="G22" s="518"/>
      <c r="H22" s="389"/>
      <c r="I22" s="593"/>
      <c r="N22" s="389"/>
      <c r="O22" s="389"/>
      <c r="P22" s="389"/>
      <c r="Q22" s="389"/>
      <c r="R22" s="389"/>
      <c r="S22" s="389"/>
      <c r="T22" s="389"/>
      <c r="U22" s="389"/>
      <c r="V22" s="389"/>
      <c r="W22" s="389"/>
      <c r="X22" s="389"/>
      <c r="Y22" s="389"/>
      <c r="Z22" s="389"/>
      <c r="AA22" s="389"/>
    </row>
    <row r="23" spans="1:27" s="508" customFormat="1" ht="25.5" customHeight="1">
      <c r="A23" s="509" t="s">
        <v>77</v>
      </c>
      <c r="B23" s="511">
        <f>SUM(B24:B24)</f>
        <v>14296896</v>
      </c>
      <c r="C23" s="511">
        <f>SUM(C24:C24)</f>
        <v>17871119</v>
      </c>
      <c r="D23" s="511">
        <f>SUM(D24:D24)</f>
        <v>-3574223</v>
      </c>
      <c r="E23" s="512">
        <f>+B23/C23-1</f>
        <v>-0.19999995523503589</v>
      </c>
      <c r="F23" s="511">
        <f>SUM(F24:F24)</f>
        <v>0</v>
      </c>
      <c r="G23" s="511">
        <f>SUM(G24:G24)</f>
        <v>0</v>
      </c>
      <c r="H23" s="389"/>
      <c r="I23" s="593"/>
      <c r="N23" s="389"/>
      <c r="O23" s="389"/>
      <c r="P23" s="389"/>
      <c r="Q23" s="389"/>
      <c r="R23" s="389"/>
      <c r="S23" s="389"/>
      <c r="T23" s="389"/>
      <c r="U23" s="389"/>
      <c r="V23" s="389"/>
      <c r="W23" s="389"/>
      <c r="X23" s="389"/>
      <c r="Y23" s="389"/>
      <c r="Z23" s="389"/>
      <c r="AA23" s="389"/>
    </row>
    <row r="24" spans="1:27" s="508" customFormat="1" ht="17.25" customHeight="1">
      <c r="A24" s="526" t="s">
        <v>78</v>
      </c>
      <c r="B24" s="514">
        <v>14296896</v>
      </c>
      <c r="C24" s="514">
        <v>17871119</v>
      </c>
      <c r="D24" s="515">
        <f>+B24-C24</f>
        <v>-3574223</v>
      </c>
      <c r="E24" s="516">
        <f>IF(C24=0,0,D24/C24)</f>
        <v>-0.19999995523503591</v>
      </c>
      <c r="F24" s="524"/>
      <c r="G24" s="524"/>
      <c r="H24" s="389"/>
      <c r="I24" s="593"/>
      <c r="N24" s="389"/>
      <c r="O24" s="389"/>
      <c r="P24" s="389"/>
      <c r="Q24" s="389"/>
      <c r="R24" s="389"/>
      <c r="S24" s="389"/>
      <c r="T24" s="389"/>
      <c r="U24" s="389"/>
      <c r="V24" s="389"/>
      <c r="W24" s="389"/>
      <c r="X24" s="389"/>
      <c r="Y24" s="389"/>
      <c r="Z24" s="389"/>
      <c r="AA24" s="389"/>
    </row>
    <row r="25" spans="1:27" s="508" customFormat="1" ht="22.5" customHeight="1">
      <c r="A25" s="510" t="s">
        <v>3</v>
      </c>
      <c r="B25" s="525">
        <f>+B8+B11+B12+B18+B19+B23</f>
        <v>270696259.90999985</v>
      </c>
      <c r="C25" s="525">
        <f>+C8+C11+C12+C18+C19+C23</f>
        <v>249298910.45000005</v>
      </c>
      <c r="D25" s="525">
        <f>+D8+D11+D12+D18+D19+D23</f>
        <v>21397349.4599998</v>
      </c>
      <c r="E25" s="512">
        <f>+B25/C25-1</f>
        <v>8.5830096174011494E-2</v>
      </c>
      <c r="F25" s="525" t="e">
        <f>+F8+F11+F12+F18+#REF!+F19+#REF!+#REF!+F23</f>
        <v>#REF!</v>
      </c>
      <c r="G25" s="525" t="e">
        <f>+G8+G11+G12+G18+#REF!+G19+#REF!+#REF!+G23</f>
        <v>#REF!</v>
      </c>
      <c r="H25" s="389"/>
      <c r="I25" s="593"/>
      <c r="J25" s="543"/>
      <c r="N25" s="389"/>
      <c r="O25" s="389"/>
      <c r="P25" s="389"/>
      <c r="Q25" s="389"/>
      <c r="R25" s="389"/>
      <c r="S25" s="389"/>
      <c r="T25" s="389"/>
      <c r="U25" s="389"/>
      <c r="V25" s="389"/>
      <c r="W25" s="389"/>
      <c r="X25" s="389"/>
      <c r="Y25" s="389"/>
      <c r="Z25" s="389"/>
      <c r="AA25" s="389"/>
    </row>
    <row r="26" spans="1:27" s="508" customFormat="1" ht="15.75">
      <c r="A26" s="513"/>
      <c r="B26" s="518"/>
      <c r="C26" s="518"/>
      <c r="D26" s="529"/>
      <c r="F26" s="518"/>
      <c r="G26" s="518"/>
      <c r="H26" s="389"/>
      <c r="I26" s="593"/>
      <c r="N26" s="389"/>
      <c r="O26" s="389"/>
      <c r="P26" s="389"/>
      <c r="Q26" s="389"/>
      <c r="R26" s="389"/>
      <c r="S26" s="389"/>
      <c r="T26" s="389"/>
      <c r="U26" s="389"/>
      <c r="V26" s="389"/>
      <c r="W26" s="389"/>
      <c r="X26" s="389"/>
      <c r="Y26" s="389"/>
      <c r="Z26" s="389"/>
      <c r="AA26" s="389"/>
    </row>
    <row r="27" spans="1:27" s="508" customFormat="1" ht="12.75" customHeight="1">
      <c r="A27" s="506" t="s">
        <v>4</v>
      </c>
      <c r="B27" s="518"/>
      <c r="C27" s="518"/>
      <c r="E27" s="519"/>
      <c r="F27" s="518"/>
      <c r="G27" s="518"/>
      <c r="H27" s="389"/>
      <c r="I27" s="593"/>
      <c r="N27" s="389"/>
      <c r="O27" s="389"/>
      <c r="P27" s="389"/>
      <c r="Q27" s="389"/>
      <c r="R27" s="389"/>
      <c r="S27" s="389"/>
      <c r="T27" s="389"/>
      <c r="U27" s="389"/>
      <c r="V27" s="389"/>
      <c r="W27" s="389"/>
      <c r="X27" s="389"/>
      <c r="Y27" s="389"/>
      <c r="Z27" s="389"/>
      <c r="AA27" s="389"/>
    </row>
    <row r="28" spans="1:27" s="508" customFormat="1" ht="25.5" customHeight="1">
      <c r="A28" s="530" t="s">
        <v>5</v>
      </c>
      <c r="B28" s="525">
        <f>SUM(B29:B41)</f>
        <v>27618699</v>
      </c>
      <c r="C28" s="525">
        <f>SUM(C29:C41)</f>
        <v>66947190</v>
      </c>
      <c r="D28" s="525">
        <f>+B28-C28</f>
        <v>-39328491</v>
      </c>
      <c r="E28" s="512">
        <f>+B28/C28-1</f>
        <v>-0.58745544062416966</v>
      </c>
      <c r="F28" s="525">
        <f>SUM(F29:F31)</f>
        <v>0</v>
      </c>
      <c r="G28" s="525">
        <f>SUM(G29:G31)</f>
        <v>0</v>
      </c>
      <c r="H28" s="389"/>
      <c r="I28" s="593"/>
      <c r="J28" s="531"/>
      <c r="N28" s="389"/>
      <c r="O28" s="389"/>
      <c r="P28" s="389"/>
      <c r="Q28" s="389"/>
      <c r="R28" s="389"/>
      <c r="S28" s="389"/>
      <c r="T28" s="389"/>
      <c r="U28" s="389"/>
      <c r="V28" s="389"/>
      <c r="W28" s="389"/>
      <c r="X28" s="389"/>
      <c r="Y28" s="389"/>
      <c r="Z28" s="389"/>
      <c r="AA28" s="389"/>
    </row>
    <row r="29" spans="1:27" s="508" customFormat="1" ht="15.75">
      <c r="A29" s="513" t="s">
        <v>6</v>
      </c>
      <c r="B29" s="514"/>
      <c r="C29" s="514">
        <v>872190</v>
      </c>
      <c r="D29" s="515">
        <f t="shared" ref="D29:D41" si="3">+B29-C29</f>
        <v>-872190</v>
      </c>
      <c r="E29" s="516">
        <f t="shared" ref="E29:E41" si="4">IF(C29=0,0,D29/C29)</f>
        <v>-1</v>
      </c>
      <c r="F29" s="518"/>
      <c r="G29" s="518"/>
      <c r="H29" s="389"/>
      <c r="I29" s="593"/>
      <c r="N29" s="389"/>
      <c r="O29" s="389"/>
      <c r="P29" s="389"/>
      <c r="Q29" s="389"/>
      <c r="R29" s="389"/>
      <c r="S29" s="389"/>
      <c r="T29" s="389"/>
      <c r="U29" s="389"/>
      <c r="V29" s="389"/>
      <c r="W29" s="389"/>
      <c r="X29" s="389"/>
      <c r="Y29" s="389"/>
      <c r="Z29" s="389"/>
      <c r="AA29" s="389"/>
    </row>
    <row r="30" spans="1:27" s="508" customFormat="1" ht="15.75">
      <c r="A30" s="513" t="s">
        <v>515</v>
      </c>
      <c r="B30" s="514">
        <v>2499000</v>
      </c>
      <c r="C30" s="514">
        <v>2499000</v>
      </c>
      <c r="D30" s="515">
        <f t="shared" si="3"/>
        <v>0</v>
      </c>
      <c r="E30" s="516">
        <f t="shared" si="4"/>
        <v>0</v>
      </c>
      <c r="F30" s="518"/>
      <c r="G30" s="518"/>
      <c r="H30" s="389"/>
      <c r="I30" s="593"/>
      <c r="N30" s="389"/>
      <c r="O30" s="389"/>
      <c r="P30" s="389"/>
      <c r="Q30" s="389"/>
      <c r="R30" s="389"/>
      <c r="S30" s="389"/>
      <c r="T30" s="389"/>
      <c r="U30" s="389"/>
      <c r="V30" s="389"/>
      <c r="W30" s="389"/>
      <c r="X30" s="389"/>
      <c r="Y30" s="389"/>
      <c r="Z30" s="389"/>
      <c r="AA30" s="389"/>
    </row>
    <row r="31" spans="1:27" s="508" customFormat="1" ht="15.75">
      <c r="A31" s="513" t="s">
        <v>81</v>
      </c>
      <c r="B31" s="514">
        <v>5789000</v>
      </c>
      <c r="C31" s="514">
        <v>5029000</v>
      </c>
      <c r="D31" s="515">
        <f t="shared" si="3"/>
        <v>760000</v>
      </c>
      <c r="E31" s="516">
        <f t="shared" si="4"/>
        <v>0.15112348379399482</v>
      </c>
      <c r="F31" s="518"/>
      <c r="G31" s="518"/>
      <c r="H31" s="389"/>
      <c r="I31" s="593"/>
      <c r="N31" s="389"/>
      <c r="O31" s="389"/>
      <c r="P31" s="389"/>
      <c r="Q31" s="389"/>
      <c r="R31" s="389"/>
      <c r="S31" s="389"/>
      <c r="T31" s="389"/>
      <c r="U31" s="389"/>
      <c r="V31" s="389"/>
      <c r="W31" s="389"/>
      <c r="X31" s="389"/>
      <c r="Y31" s="389"/>
      <c r="Z31" s="389"/>
      <c r="AA31" s="389"/>
    </row>
    <row r="32" spans="1:27" s="508" customFormat="1" ht="15.75">
      <c r="A32" s="513" t="str">
        <f>+[3]dic19!A39</f>
        <v>Asistente Administrativa</v>
      </c>
      <c r="B32" s="514">
        <v>1851519</v>
      </c>
      <c r="C32" s="514">
        <v>1851519</v>
      </c>
      <c r="D32" s="515">
        <f t="shared" si="3"/>
        <v>0</v>
      </c>
      <c r="E32" s="516">
        <f t="shared" si="4"/>
        <v>0</v>
      </c>
      <c r="F32" s="518"/>
      <c r="G32" s="518"/>
      <c r="H32" s="389"/>
      <c r="I32" s="593"/>
      <c r="N32" s="389"/>
      <c r="O32" s="389"/>
      <c r="P32" s="389"/>
      <c r="Q32" s="389"/>
      <c r="R32" s="389"/>
      <c r="S32" s="389"/>
      <c r="T32" s="389"/>
      <c r="U32" s="389"/>
      <c r="V32" s="389"/>
      <c r="W32" s="389"/>
      <c r="X32" s="389"/>
      <c r="Y32" s="389"/>
      <c r="Z32" s="389"/>
      <c r="AA32" s="389"/>
    </row>
    <row r="33" spans="1:27" s="508" customFormat="1" ht="15.75">
      <c r="A33" s="513" t="s">
        <v>83</v>
      </c>
      <c r="B33" s="514">
        <v>0</v>
      </c>
      <c r="C33" s="514">
        <v>41918824</v>
      </c>
      <c r="D33" s="515">
        <f t="shared" si="3"/>
        <v>-41918824</v>
      </c>
      <c r="E33" s="516">
        <f t="shared" si="4"/>
        <v>-1</v>
      </c>
      <c r="F33" s="518"/>
      <c r="G33" s="518"/>
      <c r="H33" s="389"/>
      <c r="I33" s="593"/>
      <c r="N33" s="389"/>
      <c r="O33" s="389"/>
      <c r="P33" s="389"/>
      <c r="Q33" s="389"/>
      <c r="R33" s="389"/>
      <c r="S33" s="389"/>
      <c r="T33" s="389"/>
      <c r="U33" s="389"/>
      <c r="V33" s="389"/>
      <c r="W33" s="389"/>
      <c r="X33" s="389"/>
      <c r="Y33" s="389"/>
      <c r="Z33" s="389"/>
      <c r="AA33" s="389"/>
    </row>
    <row r="34" spans="1:27" s="508" customFormat="1" ht="15.75">
      <c r="A34" s="513" t="s">
        <v>684</v>
      </c>
      <c r="B34" s="514">
        <v>7497335</v>
      </c>
      <c r="C34" s="514">
        <f>7809723+210000</f>
        <v>8019723</v>
      </c>
      <c r="D34" s="515">
        <f t="shared" si="3"/>
        <v>-522388</v>
      </c>
      <c r="E34" s="516">
        <f t="shared" si="4"/>
        <v>-6.5137910623596348E-2</v>
      </c>
      <c r="F34" s="518"/>
      <c r="G34" s="518"/>
      <c r="H34" s="389"/>
      <c r="I34" s="593"/>
      <c r="N34" s="389"/>
      <c r="O34" s="389"/>
      <c r="P34" s="389"/>
      <c r="Q34" s="389"/>
      <c r="R34" s="389"/>
      <c r="S34" s="389"/>
      <c r="T34" s="389"/>
      <c r="U34" s="389"/>
      <c r="V34" s="389"/>
      <c r="W34" s="389"/>
      <c r="X34" s="389"/>
      <c r="Y34" s="389"/>
      <c r="Z34" s="389"/>
      <c r="AA34" s="389"/>
    </row>
    <row r="35" spans="1:27" s="508" customFormat="1" ht="15.75">
      <c r="A35" s="513" t="s">
        <v>563</v>
      </c>
      <c r="B35" s="514">
        <v>2512474</v>
      </c>
      <c r="C35" s="514"/>
      <c r="D35" s="515">
        <f t="shared" si="3"/>
        <v>2512474</v>
      </c>
      <c r="E35" s="516">
        <f t="shared" si="4"/>
        <v>0</v>
      </c>
      <c r="F35" s="518"/>
      <c r="G35" s="518"/>
      <c r="H35" s="389"/>
      <c r="I35" s="593"/>
      <c r="N35" s="389"/>
      <c r="O35" s="389"/>
      <c r="P35" s="389"/>
      <c r="Q35" s="389"/>
      <c r="R35" s="389"/>
      <c r="S35" s="389"/>
      <c r="T35" s="389"/>
      <c r="U35" s="389"/>
      <c r="V35" s="389"/>
      <c r="W35" s="389"/>
      <c r="X35" s="389"/>
      <c r="Y35" s="389"/>
      <c r="Z35" s="389"/>
      <c r="AA35" s="389"/>
    </row>
    <row r="36" spans="1:27" s="508" customFormat="1" ht="15.75">
      <c r="A36" s="513" t="s">
        <v>86</v>
      </c>
      <c r="B36" s="514">
        <v>270588</v>
      </c>
      <c r="C36" s="514">
        <v>1372269</v>
      </c>
      <c r="D36" s="515">
        <f t="shared" si="3"/>
        <v>-1101681</v>
      </c>
      <c r="E36" s="516">
        <f t="shared" si="4"/>
        <v>-0.80281708615439096</v>
      </c>
      <c r="F36" s="518"/>
      <c r="G36" s="518"/>
      <c r="H36" s="389"/>
      <c r="I36" s="593"/>
      <c r="N36" s="389"/>
      <c r="O36" s="389"/>
      <c r="P36" s="389"/>
      <c r="Q36" s="389"/>
      <c r="R36" s="389"/>
      <c r="S36" s="389"/>
      <c r="T36" s="389"/>
      <c r="U36" s="389"/>
      <c r="V36" s="389"/>
      <c r="W36" s="389"/>
      <c r="X36" s="389"/>
      <c r="Y36" s="389"/>
      <c r="Z36" s="389"/>
      <c r="AA36" s="389"/>
    </row>
    <row r="37" spans="1:27" s="508" customFormat="1" ht="15.75">
      <c r="A37" s="513" t="s">
        <v>177</v>
      </c>
      <c r="B37" s="514"/>
      <c r="C37" s="514">
        <v>420000</v>
      </c>
      <c r="D37" s="515">
        <f t="shared" si="3"/>
        <v>-420000</v>
      </c>
      <c r="E37" s="516">
        <f t="shared" si="4"/>
        <v>-1</v>
      </c>
      <c r="F37" s="518"/>
      <c r="G37" s="518"/>
      <c r="H37" s="389"/>
      <c r="I37" s="593"/>
      <c r="N37" s="389"/>
      <c r="O37" s="389"/>
      <c r="P37" s="389"/>
      <c r="Q37" s="389"/>
      <c r="R37" s="389"/>
      <c r="S37" s="389"/>
      <c r="T37" s="389"/>
      <c r="U37" s="389"/>
      <c r="V37" s="389"/>
      <c r="W37" s="389"/>
      <c r="X37" s="389"/>
      <c r="Y37" s="389"/>
      <c r="Z37" s="389"/>
      <c r="AA37" s="389"/>
    </row>
    <row r="38" spans="1:27" s="508" customFormat="1" ht="15.75">
      <c r="A38" s="513" t="str">
        <f>+[3]dic19!A46</f>
        <v>Mant locativos</v>
      </c>
      <c r="B38" s="514">
        <v>6428542</v>
      </c>
      <c r="C38" s="514">
        <v>4100142</v>
      </c>
      <c r="D38" s="515">
        <f t="shared" si="3"/>
        <v>2328400</v>
      </c>
      <c r="E38" s="516">
        <f t="shared" si="4"/>
        <v>0.56788277088939842</v>
      </c>
      <c r="F38" s="518"/>
      <c r="G38" s="518"/>
      <c r="H38" s="389"/>
      <c r="I38" s="593"/>
      <c r="N38" s="389"/>
      <c r="O38" s="389"/>
      <c r="P38" s="389"/>
      <c r="Q38" s="389"/>
      <c r="R38" s="389"/>
      <c r="S38" s="389"/>
      <c r="T38" s="389"/>
      <c r="U38" s="389"/>
      <c r="V38" s="389"/>
      <c r="W38" s="389"/>
      <c r="X38" s="389"/>
      <c r="Y38" s="389"/>
      <c r="Z38" s="389"/>
      <c r="AA38" s="389"/>
    </row>
    <row r="39" spans="1:27" s="508" customFormat="1" ht="15.75">
      <c r="A39" s="513" t="s">
        <v>1021</v>
      </c>
      <c r="B39" s="514">
        <v>289990</v>
      </c>
      <c r="C39" s="514"/>
      <c r="D39" s="515">
        <f t="shared" si="3"/>
        <v>289990</v>
      </c>
      <c r="E39" s="516">
        <f t="shared" si="4"/>
        <v>0</v>
      </c>
      <c r="F39" s="518"/>
      <c r="G39" s="518"/>
      <c r="H39" s="389"/>
      <c r="I39" s="593"/>
      <c r="N39" s="389"/>
      <c r="O39" s="389"/>
      <c r="P39" s="389"/>
      <c r="Q39" s="389"/>
      <c r="R39" s="389"/>
      <c r="S39" s="389"/>
      <c r="T39" s="389"/>
      <c r="U39" s="389"/>
      <c r="V39" s="389"/>
      <c r="W39" s="389"/>
      <c r="X39" s="389"/>
      <c r="Y39" s="389"/>
      <c r="Z39" s="389"/>
      <c r="AA39" s="389"/>
    </row>
    <row r="40" spans="1:27" s="508" customFormat="1" ht="15.75">
      <c r="A40" s="513" t="s">
        <v>550</v>
      </c>
      <c r="B40" s="514">
        <v>336000</v>
      </c>
      <c r="C40" s="514"/>
      <c r="D40" s="515">
        <f t="shared" si="3"/>
        <v>336000</v>
      </c>
      <c r="E40" s="516">
        <f t="shared" si="4"/>
        <v>0</v>
      </c>
      <c r="F40" s="518"/>
      <c r="G40" s="518"/>
      <c r="H40" s="389"/>
      <c r="I40" s="593"/>
      <c r="N40" s="389"/>
      <c r="O40" s="389"/>
      <c r="P40" s="389"/>
      <c r="Q40" s="389"/>
      <c r="R40" s="389"/>
      <c r="S40" s="389"/>
      <c r="T40" s="389"/>
      <c r="U40" s="389"/>
      <c r="V40" s="389"/>
      <c r="W40" s="389"/>
      <c r="X40" s="389"/>
      <c r="Y40" s="389"/>
      <c r="Z40" s="389"/>
      <c r="AA40" s="389"/>
    </row>
    <row r="41" spans="1:27" s="508" customFormat="1" ht="16.5" customHeight="1">
      <c r="A41" s="513" t="s">
        <v>82</v>
      </c>
      <c r="B41" s="514">
        <v>144251</v>
      </c>
      <c r="C41" s="514">
        <v>864523</v>
      </c>
      <c r="D41" s="515">
        <f t="shared" si="3"/>
        <v>-720272</v>
      </c>
      <c r="E41" s="516">
        <f t="shared" si="4"/>
        <v>-0.83314382613302362</v>
      </c>
      <c r="F41" s="518"/>
      <c r="G41" s="518"/>
      <c r="H41" s="389"/>
      <c r="I41" s="593"/>
      <c r="N41" s="389"/>
      <c r="O41" s="389"/>
      <c r="P41" s="389"/>
      <c r="Q41" s="389"/>
      <c r="R41" s="389"/>
      <c r="S41" s="389"/>
      <c r="T41" s="389"/>
      <c r="U41" s="389"/>
      <c r="V41" s="389"/>
      <c r="W41" s="389"/>
      <c r="X41" s="389"/>
      <c r="Y41" s="389"/>
      <c r="Z41" s="389"/>
      <c r="AA41" s="389"/>
    </row>
    <row r="42" spans="1:27" s="508" customFormat="1" ht="21.75" customHeight="1">
      <c r="A42" s="530" t="s">
        <v>88</v>
      </c>
      <c r="B42" s="525">
        <f>+B43</f>
        <v>5905440</v>
      </c>
      <c r="C42" s="525">
        <f>+C43</f>
        <v>5981230</v>
      </c>
      <c r="D42" s="525">
        <f>+B42-C42</f>
        <v>-75790</v>
      </c>
      <c r="E42" s="512">
        <f>+B42/C42-1</f>
        <v>-1.2671306737911725E-2</v>
      </c>
      <c r="F42" s="525"/>
      <c r="G42" s="525"/>
      <c r="H42" s="389"/>
      <c r="I42" s="593"/>
      <c r="N42" s="389"/>
      <c r="O42" s="389"/>
      <c r="P42" s="389"/>
      <c r="Q42" s="389"/>
      <c r="R42" s="389"/>
      <c r="S42" s="389"/>
      <c r="T42" s="389"/>
      <c r="U42" s="389"/>
      <c r="V42" s="389"/>
      <c r="W42" s="389"/>
      <c r="X42" s="389"/>
      <c r="Y42" s="389"/>
      <c r="Z42" s="389"/>
      <c r="AA42" s="389"/>
    </row>
    <row r="43" spans="1:27" s="508" customFormat="1" ht="15.75">
      <c r="A43" s="513" t="s">
        <v>62</v>
      </c>
      <c r="B43" s="514">
        <v>5905440</v>
      </c>
      <c r="C43" s="514">
        <v>5981230</v>
      </c>
      <c r="D43" s="515">
        <f>+B43-C43</f>
        <v>-75790</v>
      </c>
      <c r="E43" s="516">
        <f>IF(C43=0,0,D43/C43)</f>
        <v>-1.2671306737911767E-2</v>
      </c>
      <c r="F43" s="518"/>
      <c r="G43" s="518"/>
      <c r="H43" s="389"/>
      <c r="I43" s="593"/>
      <c r="N43" s="389"/>
      <c r="O43" s="389"/>
      <c r="P43" s="389"/>
      <c r="Q43" s="389"/>
      <c r="R43" s="389"/>
      <c r="S43" s="389"/>
      <c r="T43" s="389"/>
      <c r="U43" s="389"/>
      <c r="V43" s="389"/>
      <c r="W43" s="389"/>
      <c r="X43" s="389"/>
      <c r="Y43" s="389"/>
      <c r="Z43" s="389"/>
      <c r="AA43" s="389"/>
    </row>
    <row r="44" spans="1:27" s="508" customFormat="1" ht="24" customHeight="1">
      <c r="A44" s="530" t="s">
        <v>552</v>
      </c>
      <c r="B44" s="525">
        <f>SUM(B45:B45)</f>
        <v>155736</v>
      </c>
      <c r="C44" s="525">
        <f>SUM(C45:C45)</f>
        <v>155736</v>
      </c>
      <c r="D44" s="525">
        <f>SUM(D45:D45)</f>
        <v>0</v>
      </c>
      <c r="E44" s="512">
        <f>+B44/C44-1</f>
        <v>0</v>
      </c>
      <c r="F44" s="525" t="e">
        <f>SUM(#REF!)</f>
        <v>#REF!</v>
      </c>
      <c r="G44" s="525" t="e">
        <f>SUM(#REF!)</f>
        <v>#REF!</v>
      </c>
      <c r="H44" s="389"/>
      <c r="I44" s="593"/>
      <c r="N44" s="389"/>
      <c r="O44" s="389"/>
      <c r="P44" s="389"/>
      <c r="Q44" s="389"/>
      <c r="R44" s="389"/>
      <c r="S44" s="389"/>
      <c r="T44" s="389"/>
      <c r="U44" s="389"/>
      <c r="V44" s="389"/>
      <c r="W44" s="389"/>
      <c r="X44" s="389"/>
      <c r="Y44" s="389"/>
      <c r="Z44" s="389"/>
      <c r="AA44" s="389"/>
    </row>
    <row r="45" spans="1:27" s="508" customFormat="1" ht="15.75">
      <c r="A45" s="513" t="s">
        <v>553</v>
      </c>
      <c r="B45" s="514">
        <v>155736</v>
      </c>
      <c r="C45" s="514">
        <v>155736</v>
      </c>
      <c r="D45" s="515">
        <f>+B45-C45</f>
        <v>0</v>
      </c>
      <c r="E45" s="516">
        <f>IF(C45=0,0,D45/C45)</f>
        <v>0</v>
      </c>
      <c r="F45" s="518"/>
      <c r="G45" s="518"/>
      <c r="H45" s="389"/>
      <c r="I45" s="593"/>
      <c r="N45" s="389"/>
      <c r="O45" s="389"/>
      <c r="P45" s="389"/>
      <c r="Q45" s="389"/>
      <c r="R45" s="389"/>
      <c r="S45" s="389"/>
      <c r="T45" s="389"/>
      <c r="U45" s="389"/>
      <c r="V45" s="389"/>
      <c r="W45" s="389"/>
      <c r="X45" s="389"/>
      <c r="Y45" s="389"/>
      <c r="Z45" s="389"/>
      <c r="AA45" s="389"/>
    </row>
    <row r="46" spans="1:27" s="508" customFormat="1" ht="22.5" customHeight="1">
      <c r="A46" s="510" t="s">
        <v>7</v>
      </c>
      <c r="B46" s="536">
        <f>+B28+B42+B44</f>
        <v>33679875</v>
      </c>
      <c r="C46" s="536">
        <f>+C28+C42+C44</f>
        <v>73084156</v>
      </c>
      <c r="D46" s="536">
        <f>+D28+D42+D44</f>
        <v>-39404281</v>
      </c>
      <c r="E46" s="512">
        <f>+D46/C46</f>
        <v>-0.539163112179882</v>
      </c>
      <c r="F46" s="536" t="e">
        <f>+F28+#REF!+F42+F44</f>
        <v>#REF!</v>
      </c>
      <c r="G46" s="536" t="e">
        <f>+G28+#REF!+G42+G44</f>
        <v>#REF!</v>
      </c>
      <c r="H46" s="389"/>
      <c r="I46" s="593"/>
      <c r="N46" s="389"/>
      <c r="O46" s="389"/>
      <c r="P46" s="389"/>
      <c r="Q46" s="389"/>
      <c r="R46" s="389"/>
      <c r="S46" s="389"/>
      <c r="T46" s="389"/>
      <c r="U46" s="389"/>
      <c r="V46" s="389"/>
      <c r="W46" s="389"/>
      <c r="X46" s="389"/>
      <c r="Y46" s="389"/>
      <c r="Z46" s="389"/>
      <c r="AA46" s="389"/>
    </row>
    <row r="47" spans="1:27" s="508" customFormat="1" ht="15.75">
      <c r="A47" s="513"/>
      <c r="B47" s="518"/>
      <c r="C47" s="518"/>
      <c r="D47" s="524"/>
      <c r="E47" s="519"/>
      <c r="F47" s="518"/>
      <c r="G47" s="518"/>
      <c r="H47" s="813"/>
      <c r="I47" s="593"/>
      <c r="N47" s="389"/>
      <c r="O47" s="389"/>
      <c r="P47" s="389"/>
      <c r="Q47" s="389"/>
      <c r="R47" s="389"/>
      <c r="S47" s="389"/>
      <c r="T47" s="389"/>
      <c r="U47" s="389"/>
      <c r="V47" s="389"/>
      <c r="W47" s="389"/>
      <c r="X47" s="389"/>
      <c r="Y47" s="389"/>
      <c r="Z47" s="389"/>
      <c r="AA47" s="389"/>
    </row>
    <row r="48" spans="1:27" s="508" customFormat="1" ht="27" customHeight="1">
      <c r="A48" s="509" t="s">
        <v>8</v>
      </c>
      <c r="B48" s="536">
        <f>SUM(B49:B56)</f>
        <v>237016384.44</v>
      </c>
      <c r="C48" s="536">
        <f>SUM(C49:C56)</f>
        <v>176214754.44</v>
      </c>
      <c r="D48" s="536">
        <f>SUM(D49:D56)</f>
        <v>60801630</v>
      </c>
      <c r="E48" s="512">
        <f>+B48/C48-1</f>
        <v>0.34504278709932068</v>
      </c>
      <c r="F48" s="536">
        <f>SUM(F49:F55)</f>
        <v>0</v>
      </c>
      <c r="G48" s="536">
        <f>SUM(G49:G55)</f>
        <v>0</v>
      </c>
      <c r="H48" s="389"/>
      <c r="I48" s="593"/>
      <c r="N48" s="389"/>
      <c r="O48" s="389"/>
      <c r="P48" s="389"/>
      <c r="Q48" s="389"/>
      <c r="R48" s="389"/>
      <c r="S48" s="389"/>
      <c r="T48" s="389"/>
      <c r="U48" s="389"/>
      <c r="V48" s="389"/>
      <c r="W48" s="389"/>
      <c r="X48" s="389"/>
      <c r="Y48" s="389"/>
      <c r="Z48" s="389"/>
      <c r="AA48" s="389"/>
    </row>
    <row r="49" spans="1:27" s="508" customFormat="1" ht="15.75">
      <c r="A49" s="513" t="s">
        <v>554</v>
      </c>
      <c r="B49" s="514">
        <v>21123325.440000001</v>
      </c>
      <c r="C49" s="514">
        <v>20311097.440000001</v>
      </c>
      <c r="D49" s="515">
        <f t="shared" ref="D49:D56" si="5">+B49-C49</f>
        <v>812228</v>
      </c>
      <c r="E49" s="516">
        <f t="shared" ref="E49:E56" si="6">IF(C49=0,0,D49/C49)</f>
        <v>3.9989370461116745E-2</v>
      </c>
      <c r="F49" s="518"/>
      <c r="G49" s="518"/>
      <c r="H49" s="601">
        <f>+B49</f>
        <v>21123325.440000001</v>
      </c>
      <c r="I49" s="593"/>
      <c r="N49" s="389"/>
      <c r="O49" s="389"/>
      <c r="P49" s="389"/>
      <c r="Q49" s="389"/>
      <c r="R49" s="389"/>
      <c r="S49" s="389"/>
      <c r="T49" s="389"/>
      <c r="U49" s="389"/>
      <c r="V49" s="389"/>
      <c r="W49" s="389"/>
      <c r="X49" s="389"/>
      <c r="Y49" s="389"/>
      <c r="Z49" s="389"/>
      <c r="AA49" s="389"/>
    </row>
    <row r="50" spans="1:27" s="508" customFormat="1" ht="15.75">
      <c r="A50" s="513" t="str">
        <f>+[3]dic19!A54</f>
        <v>Fondo para Mant Sótanos</v>
      </c>
      <c r="B50" s="514">
        <v>385500</v>
      </c>
      <c r="C50" s="514">
        <v>449702</v>
      </c>
      <c r="D50" s="515">
        <f t="shared" si="5"/>
        <v>-64202</v>
      </c>
      <c r="E50" s="516">
        <f t="shared" si="6"/>
        <v>-0.14276565369956104</v>
      </c>
      <c r="F50" s="518"/>
      <c r="G50" s="518"/>
      <c r="H50" s="601">
        <f>SUM(B50:B53)</f>
        <v>115684387</v>
      </c>
      <c r="I50" s="593"/>
      <c r="N50" s="389"/>
      <c r="O50" s="389"/>
      <c r="P50" s="389"/>
      <c r="Q50" s="389"/>
      <c r="R50" s="389"/>
      <c r="S50" s="389"/>
      <c r="T50" s="389"/>
      <c r="U50" s="389"/>
      <c r="V50" s="389"/>
      <c r="W50" s="389"/>
      <c r="X50" s="389"/>
      <c r="Y50" s="389"/>
      <c r="Z50" s="389"/>
      <c r="AA50" s="389"/>
    </row>
    <row r="51" spans="1:27" s="508" customFormat="1" ht="15.75">
      <c r="A51" s="513" t="s">
        <v>555</v>
      </c>
      <c r="B51" s="514">
        <v>27582783</v>
      </c>
      <c r="C51" s="514">
        <v>26117141</v>
      </c>
      <c r="D51" s="515">
        <f t="shared" si="5"/>
        <v>1465642</v>
      </c>
      <c r="E51" s="516">
        <f t="shared" si="6"/>
        <v>5.6118010773078111E-2</v>
      </c>
      <c r="F51" s="518"/>
      <c r="G51" s="518"/>
      <c r="H51" s="601"/>
      <c r="I51" s="593"/>
      <c r="N51" s="389"/>
      <c r="O51" s="389"/>
      <c r="P51" s="389"/>
      <c r="Q51" s="389"/>
      <c r="R51" s="389"/>
      <c r="S51" s="389"/>
      <c r="T51" s="389"/>
      <c r="U51" s="389"/>
      <c r="V51" s="389"/>
      <c r="W51" s="389"/>
      <c r="X51" s="389"/>
      <c r="Y51" s="389"/>
      <c r="Z51" s="389"/>
      <c r="AA51" s="389"/>
    </row>
    <row r="52" spans="1:27" s="508" customFormat="1" ht="15.75">
      <c r="A52" s="513" t="str">
        <f>+[3]dic19!A56</f>
        <v>Fondo para Remodelacion Recepcion</v>
      </c>
      <c r="B52" s="514">
        <v>58303739</v>
      </c>
      <c r="C52" s="514">
        <v>17085623</v>
      </c>
      <c r="D52" s="515">
        <f t="shared" si="5"/>
        <v>41218116</v>
      </c>
      <c r="E52" s="516">
        <f t="shared" si="6"/>
        <v>2.4124444276922183</v>
      </c>
      <c r="F52" s="518"/>
      <c r="G52" s="518"/>
      <c r="H52" s="389"/>
      <c r="I52" s="593"/>
      <c r="N52" s="389"/>
      <c r="O52" s="389"/>
      <c r="P52" s="389"/>
      <c r="Q52" s="389"/>
      <c r="R52" s="389"/>
      <c r="S52" s="389"/>
      <c r="T52" s="389"/>
      <c r="U52" s="389"/>
      <c r="V52" s="389"/>
      <c r="W52" s="389"/>
      <c r="X52" s="389"/>
      <c r="Y52" s="389"/>
      <c r="Z52" s="389"/>
      <c r="AA52" s="389"/>
    </row>
    <row r="53" spans="1:27" s="508" customFormat="1" ht="15.75">
      <c r="A53" s="513" t="str">
        <f>+[3]dic19!A57</f>
        <v>Fondos con Destinacion Específica</v>
      </c>
      <c r="B53" s="514">
        <v>29412365</v>
      </c>
      <c r="C53" s="514">
        <v>29412365</v>
      </c>
      <c r="D53" s="515">
        <f t="shared" si="5"/>
        <v>0</v>
      </c>
      <c r="E53" s="516">
        <f t="shared" si="6"/>
        <v>0</v>
      </c>
      <c r="F53" s="518"/>
      <c r="G53" s="518"/>
      <c r="H53" s="389"/>
      <c r="I53" s="593"/>
      <c r="N53" s="389"/>
      <c r="O53" s="389"/>
      <c r="P53" s="389"/>
      <c r="Q53" s="389"/>
      <c r="R53" s="389"/>
      <c r="S53" s="389"/>
      <c r="T53" s="389"/>
      <c r="U53" s="389"/>
      <c r="V53" s="389"/>
      <c r="W53" s="389"/>
      <c r="X53" s="389"/>
      <c r="Y53" s="389"/>
      <c r="Z53" s="389"/>
      <c r="AA53" s="389"/>
    </row>
    <row r="54" spans="1:27" s="508" customFormat="1" ht="15.75">
      <c r="A54" s="513"/>
      <c r="B54" s="514"/>
      <c r="C54" s="514"/>
      <c r="D54" s="515"/>
      <c r="E54" s="516"/>
      <c r="F54" s="518"/>
      <c r="G54" s="518"/>
      <c r="H54" s="389"/>
      <c r="I54" s="593"/>
      <c r="N54" s="389"/>
      <c r="O54" s="389"/>
      <c r="P54" s="389"/>
      <c r="Q54" s="389"/>
      <c r="R54" s="389"/>
      <c r="S54" s="389"/>
      <c r="T54" s="389"/>
      <c r="U54" s="389"/>
      <c r="V54" s="389"/>
      <c r="W54" s="389"/>
      <c r="X54" s="389"/>
      <c r="Y54" s="389"/>
      <c r="Z54" s="389"/>
      <c r="AA54" s="389"/>
    </row>
    <row r="55" spans="1:27" s="508" customFormat="1" ht="15.75">
      <c r="A55" s="513" t="s">
        <v>556</v>
      </c>
      <c r="B55" s="514">
        <v>53746201</v>
      </c>
      <c r="C55" s="514">
        <v>36376355</v>
      </c>
      <c r="D55" s="515">
        <f t="shared" si="5"/>
        <v>17369846</v>
      </c>
      <c r="E55" s="516">
        <f t="shared" si="6"/>
        <v>0.47750375209390827</v>
      </c>
      <c r="F55" s="518"/>
      <c r="G55" s="518"/>
      <c r="H55" s="389"/>
      <c r="I55" s="593"/>
      <c r="N55" s="389"/>
      <c r="O55" s="389"/>
      <c r="P55" s="389"/>
      <c r="Q55" s="389"/>
      <c r="R55" s="389"/>
      <c r="S55" s="389"/>
      <c r="T55" s="389"/>
      <c r="U55" s="389"/>
      <c r="V55" s="389"/>
      <c r="W55" s="389"/>
      <c r="X55" s="389"/>
      <c r="Y55" s="389"/>
      <c r="Z55" s="389"/>
      <c r="AA55" s="389"/>
    </row>
    <row r="56" spans="1:27" s="508" customFormat="1" ht="15.75">
      <c r="A56" s="513" t="str">
        <f>+[3]dic19!A59</f>
        <v>Resultados ejercicios anteriores</v>
      </c>
      <c r="B56" s="514">
        <v>46462471</v>
      </c>
      <c r="C56" s="514">
        <v>46462471</v>
      </c>
      <c r="D56" s="515">
        <f t="shared" si="5"/>
        <v>0</v>
      </c>
      <c r="E56" s="516">
        <f t="shared" si="6"/>
        <v>0</v>
      </c>
      <c r="F56" s="518"/>
      <c r="G56" s="518"/>
      <c r="H56" s="389"/>
      <c r="I56" s="593"/>
      <c r="N56" s="389"/>
      <c r="O56" s="389"/>
      <c r="P56" s="389"/>
      <c r="Q56" s="389"/>
      <c r="R56" s="389"/>
      <c r="S56" s="389"/>
      <c r="T56" s="389"/>
      <c r="U56" s="389"/>
      <c r="V56" s="389"/>
      <c r="W56" s="389"/>
      <c r="X56" s="389"/>
      <c r="Y56" s="389"/>
      <c r="Z56" s="389"/>
      <c r="AA56" s="389"/>
    </row>
    <row r="57" spans="1:27" s="508" customFormat="1" ht="36.75" customHeight="1">
      <c r="A57" s="509" t="s">
        <v>9</v>
      </c>
      <c r="B57" s="536">
        <f>+B48+B46</f>
        <v>270696259.44</v>
      </c>
      <c r="C57" s="536">
        <f>+C48+C46</f>
        <v>249298910.44</v>
      </c>
      <c r="D57" s="536">
        <f>+D48+D46</f>
        <v>21397349</v>
      </c>
      <c r="E57" s="512">
        <f>+B57/C57-1</f>
        <v>8.5830094332280726E-2</v>
      </c>
      <c r="F57" s="536" t="e">
        <f>+F48+F46</f>
        <v>#REF!</v>
      </c>
      <c r="G57" s="536" t="e">
        <f>+G48+G46</f>
        <v>#REF!</v>
      </c>
      <c r="H57" s="389"/>
      <c r="I57" s="593"/>
      <c r="N57" s="389"/>
      <c r="O57" s="389"/>
      <c r="P57" s="389"/>
      <c r="Q57" s="389"/>
      <c r="R57" s="389"/>
      <c r="S57" s="389"/>
      <c r="T57" s="389"/>
      <c r="U57" s="389"/>
      <c r="V57" s="389"/>
      <c r="W57" s="389"/>
      <c r="X57" s="389"/>
      <c r="Y57" s="389"/>
      <c r="Z57" s="389"/>
      <c r="AA57" s="389"/>
    </row>
    <row r="58" spans="1:27" s="508" customFormat="1" ht="15.75">
      <c r="A58" s="513"/>
      <c r="B58" s="538">
        <f>+B25-B57</f>
        <v>0.46999984979629517</v>
      </c>
      <c r="C58" s="538">
        <f>+C25-C57</f>
        <v>1.0000050067901611E-2</v>
      </c>
      <c r="D58" s="538"/>
      <c r="F58" s="538"/>
      <c r="G58" s="538"/>
      <c r="H58" s="389"/>
      <c r="I58" s="593"/>
      <c r="N58" s="389"/>
      <c r="O58" s="389"/>
      <c r="P58" s="389"/>
      <c r="Q58" s="389"/>
      <c r="R58" s="389"/>
      <c r="S58" s="389"/>
      <c r="T58" s="389"/>
      <c r="U58" s="389"/>
      <c r="V58" s="389"/>
      <c r="W58" s="389"/>
      <c r="X58" s="389"/>
      <c r="Y58" s="389"/>
      <c r="Z58" s="389"/>
      <c r="AA58" s="389"/>
    </row>
    <row r="59" spans="1:27" s="508" customFormat="1" ht="4.5" customHeight="1">
      <c r="B59" s="539"/>
      <c r="C59" s="539"/>
      <c r="D59" s="540"/>
      <c r="F59" s="540"/>
      <c r="G59" s="540"/>
      <c r="H59" s="389"/>
      <c r="I59" s="593"/>
      <c r="N59" s="389"/>
      <c r="O59" s="389"/>
      <c r="P59" s="389"/>
      <c r="Q59" s="389"/>
      <c r="R59" s="389"/>
      <c r="S59" s="389"/>
      <c r="T59" s="389"/>
      <c r="U59" s="389"/>
      <c r="V59" s="389"/>
      <c r="W59" s="389"/>
      <c r="X59" s="389"/>
      <c r="Y59" s="389"/>
      <c r="Z59" s="389"/>
      <c r="AA59" s="389"/>
    </row>
    <row r="60" spans="1:27" s="508" customFormat="1" ht="15.75" hidden="1">
      <c r="B60" s="539"/>
      <c r="C60" s="539"/>
      <c r="H60" s="389"/>
      <c r="I60" s="593"/>
      <c r="N60" s="389"/>
      <c r="O60" s="389"/>
      <c r="P60" s="389"/>
      <c r="Q60" s="389"/>
      <c r="R60" s="389"/>
      <c r="S60" s="389"/>
      <c r="T60" s="389"/>
      <c r="U60" s="389"/>
      <c r="V60" s="389"/>
      <c r="W60" s="389"/>
      <c r="X60" s="389"/>
      <c r="Y60" s="389"/>
      <c r="Z60" s="389"/>
      <c r="AA60" s="389"/>
    </row>
    <row r="61" spans="1:27" s="508" customFormat="1" ht="15.75" hidden="1">
      <c r="A61" s="500"/>
      <c r="B61" s="500"/>
      <c r="C61" s="500"/>
      <c r="D61" s="500"/>
      <c r="H61" s="389"/>
      <c r="I61" s="593"/>
      <c r="N61" s="389"/>
      <c r="O61" s="389"/>
      <c r="P61" s="389"/>
      <c r="Q61" s="389"/>
      <c r="R61" s="389"/>
      <c r="S61" s="389"/>
      <c r="T61" s="389"/>
      <c r="U61" s="389"/>
      <c r="V61" s="389"/>
      <c r="W61" s="389"/>
      <c r="X61" s="389"/>
      <c r="Y61" s="389"/>
      <c r="Z61" s="389"/>
      <c r="AA61" s="389"/>
    </row>
    <row r="62" spans="1:27" s="508" customFormat="1" ht="15.75">
      <c r="A62" s="500"/>
      <c r="B62" s="500"/>
      <c r="C62" s="500"/>
      <c r="D62" s="500"/>
      <c r="H62" s="389"/>
      <c r="I62" s="593"/>
      <c r="N62" s="389"/>
      <c r="O62" s="389"/>
      <c r="P62" s="389"/>
      <c r="Q62" s="389"/>
      <c r="R62" s="389"/>
      <c r="S62" s="389"/>
      <c r="T62" s="389"/>
      <c r="U62" s="389"/>
      <c r="V62" s="389"/>
      <c r="W62" s="389"/>
      <c r="X62" s="389"/>
      <c r="Y62" s="389"/>
      <c r="Z62" s="389"/>
      <c r="AA62" s="389"/>
    </row>
    <row r="63" spans="1:27" s="508" customFormat="1" ht="15.75">
      <c r="B63" s="539"/>
      <c r="C63" s="539"/>
      <c r="H63" s="389"/>
      <c r="I63" s="593"/>
      <c r="N63" s="389"/>
      <c r="O63" s="389"/>
      <c r="P63" s="389"/>
      <c r="Q63" s="389"/>
      <c r="R63" s="389"/>
      <c r="S63" s="389"/>
      <c r="T63" s="389"/>
      <c r="U63" s="389"/>
      <c r="V63" s="389"/>
      <c r="W63" s="389"/>
      <c r="X63" s="389"/>
      <c r="Y63" s="389"/>
      <c r="Z63" s="389"/>
      <c r="AA63" s="389"/>
    </row>
    <row r="64" spans="1:27" s="508" customFormat="1" ht="15.75">
      <c r="A64" s="508" t="s">
        <v>367</v>
      </c>
      <c r="B64" s="508" t="s">
        <v>557</v>
      </c>
      <c r="D64" s="74" t="s">
        <v>157</v>
      </c>
      <c r="H64" s="389"/>
      <c r="I64" s="593"/>
      <c r="N64" s="389"/>
      <c r="O64" s="389"/>
      <c r="P64" s="389"/>
      <c r="Q64" s="389"/>
      <c r="R64" s="389"/>
      <c r="S64" s="389"/>
      <c r="T64" s="389"/>
      <c r="U64" s="389"/>
      <c r="V64" s="389"/>
      <c r="W64" s="389"/>
      <c r="X64" s="389"/>
      <c r="Y64" s="389"/>
      <c r="Z64" s="389"/>
      <c r="AA64" s="389"/>
    </row>
    <row r="65" spans="1:27" s="508" customFormat="1" ht="15.75">
      <c r="A65" s="508" t="s">
        <v>559</v>
      </c>
      <c r="B65" s="508" t="s">
        <v>95</v>
      </c>
      <c r="D65" s="74" t="s">
        <v>96</v>
      </c>
      <c r="H65" s="389"/>
      <c r="I65" s="593"/>
      <c r="N65" s="389"/>
      <c r="O65" s="389"/>
      <c r="P65" s="389"/>
      <c r="Q65" s="389"/>
      <c r="R65" s="389"/>
      <c r="S65" s="389"/>
      <c r="T65" s="389"/>
      <c r="U65" s="389"/>
      <c r="V65" s="389"/>
      <c r="W65" s="389"/>
      <c r="X65" s="389"/>
      <c r="Y65" s="389"/>
      <c r="Z65" s="389"/>
      <c r="AA65" s="389"/>
    </row>
    <row r="66" spans="1:27" s="508" customFormat="1" ht="15.75">
      <c r="A66" s="508" t="s">
        <v>560</v>
      </c>
      <c r="B66" s="508" t="s">
        <v>561</v>
      </c>
      <c r="D66" s="508" t="s">
        <v>685</v>
      </c>
      <c r="F66" s="535"/>
      <c r="G66" s="535"/>
      <c r="H66" s="389"/>
      <c r="I66" s="593"/>
      <c r="N66" s="389"/>
      <c r="O66" s="389"/>
      <c r="P66" s="389"/>
      <c r="Q66" s="389"/>
      <c r="R66" s="389"/>
      <c r="S66" s="389"/>
      <c r="T66" s="389"/>
      <c r="U66" s="389"/>
      <c r="V66" s="389"/>
      <c r="W66" s="389"/>
      <c r="X66" s="389"/>
      <c r="Y66" s="389"/>
      <c r="Z66" s="389"/>
      <c r="AA66" s="389"/>
    </row>
    <row r="67" spans="1:27" ht="15.75">
      <c r="H67" s="389"/>
      <c r="I67" s="593"/>
      <c r="N67" s="389"/>
      <c r="O67" s="389"/>
      <c r="P67" s="389"/>
      <c r="Q67" s="389"/>
      <c r="R67" s="389"/>
      <c r="S67" s="389"/>
      <c r="T67" s="389"/>
      <c r="U67" s="389"/>
      <c r="V67" s="389"/>
      <c r="W67" s="389"/>
      <c r="X67" s="389"/>
      <c r="Y67" s="389"/>
      <c r="Z67" s="389"/>
      <c r="AA67" s="389"/>
    </row>
    <row r="68" spans="1:27" ht="15.75">
      <c r="H68" s="389"/>
      <c r="I68" s="593"/>
      <c r="N68" s="389"/>
      <c r="O68" s="389"/>
      <c r="P68" s="389"/>
      <c r="Q68" s="389"/>
      <c r="R68" s="389"/>
      <c r="S68" s="389"/>
      <c r="T68" s="389"/>
      <c r="U68" s="389"/>
      <c r="V68" s="389"/>
      <c r="W68" s="389"/>
      <c r="X68" s="389"/>
      <c r="Y68" s="389"/>
      <c r="Z68" s="389"/>
      <c r="AA68" s="389"/>
    </row>
    <row r="69" spans="1:27" ht="15.75">
      <c r="N69" s="389"/>
      <c r="O69" s="389"/>
      <c r="P69" s="389"/>
      <c r="Q69" s="389"/>
      <c r="R69" s="389"/>
      <c r="S69" s="389"/>
      <c r="T69" s="389"/>
      <c r="U69" s="389"/>
      <c r="V69" s="389"/>
      <c r="W69" s="389"/>
      <c r="X69" s="389"/>
      <c r="Y69" s="389"/>
      <c r="Z69" s="389"/>
      <c r="AA69" s="389"/>
    </row>
    <row r="70" spans="1:27" ht="15.75">
      <c r="N70" s="389"/>
      <c r="O70" s="389"/>
      <c r="P70" s="389"/>
      <c r="Q70" s="389"/>
      <c r="R70" s="389"/>
      <c r="S70" s="389"/>
      <c r="T70" s="389"/>
      <c r="U70" s="389"/>
      <c r="V70" s="389"/>
      <c r="W70" s="389"/>
      <c r="X70" s="389"/>
      <c r="Y70" s="389"/>
      <c r="Z70" s="389"/>
      <c r="AA70" s="389"/>
    </row>
    <row r="71" spans="1:27">
      <c r="N71" s="514"/>
      <c r="O71" s="514"/>
      <c r="P71" s="514"/>
      <c r="Q71" s="514"/>
      <c r="R71" s="514"/>
      <c r="S71" s="514"/>
      <c r="T71" s="514"/>
      <c r="U71" s="514"/>
      <c r="V71" s="514"/>
      <c r="W71" s="514"/>
      <c r="X71" s="514"/>
      <c r="Y71" s="514"/>
      <c r="Z71" s="514"/>
      <c r="AA71" s="514"/>
    </row>
    <row r="72" spans="1:27">
      <c r="N72" s="514"/>
      <c r="O72" s="514"/>
      <c r="P72" s="514"/>
      <c r="Q72" s="514"/>
      <c r="R72" s="514"/>
      <c r="S72" s="514"/>
      <c r="T72" s="514"/>
      <c r="U72" s="514"/>
      <c r="V72" s="514"/>
      <c r="W72" s="514"/>
      <c r="X72" s="514"/>
      <c r="Y72" s="514"/>
      <c r="Z72" s="514"/>
      <c r="AA72" s="514"/>
    </row>
    <row r="78" spans="1:27">
      <c r="B78" s="541"/>
      <c r="C78" s="541"/>
    </row>
    <row r="79" spans="1:27">
      <c r="B79" s="542"/>
      <c r="C79" s="542"/>
    </row>
  </sheetData>
  <mergeCells count="2">
    <mergeCell ref="A3:E3"/>
    <mergeCell ref="A4:E4"/>
  </mergeCells>
  <printOptions horizontalCentered="1" verticalCentered="1"/>
  <pageMargins left="0.70866141732283472" right="0.70866141732283472" top="0.74803149606299213" bottom="0.74803149606299213" header="0.31496062992125984" footer="0.31496062992125984"/>
  <pageSetup scale="71" orientation="portrait" horizontalDpi="4294967294" verticalDpi="144"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0"/>
  <sheetViews>
    <sheetView workbookViewId="0">
      <pane xSplit="2" ySplit="6" topLeftCell="C43" activePane="bottomRight" state="frozen"/>
      <selection pane="topRight" activeCell="D1" sqref="D1"/>
      <selection pane="bottomLeft" activeCell="A7" sqref="A7"/>
      <selection pane="bottomRight" activeCell="A69" sqref="A69"/>
    </sheetView>
  </sheetViews>
  <sheetFormatPr baseColWidth="10" defaultRowHeight="12.75"/>
  <cols>
    <col min="1" max="1" width="37" style="500" customWidth="1"/>
    <col min="2" max="3" width="17.140625" style="500" customWidth="1"/>
    <col min="4" max="4" width="17.85546875" style="500" customWidth="1"/>
    <col min="5" max="5" width="7.42578125" style="500" customWidth="1"/>
    <col min="6" max="7" width="0" style="500" hidden="1" customWidth="1"/>
    <col min="8" max="8" width="49" style="500" customWidth="1"/>
    <col min="9" max="9" width="31.28515625" style="500" customWidth="1"/>
    <col min="10" max="10" width="12.28515625" style="500" bestFit="1" customWidth="1"/>
    <col min="11" max="11" width="13.140625" style="500" customWidth="1"/>
    <col min="12" max="255" width="11.42578125" style="500"/>
    <col min="256" max="256" width="37" style="500" customWidth="1"/>
    <col min="257" max="257" width="7.28515625" style="500" bestFit="1" customWidth="1"/>
    <col min="258" max="259" width="17.140625" style="500" customWidth="1"/>
    <col min="260" max="260" width="17.85546875" style="500" customWidth="1"/>
    <col min="261" max="261" width="7.42578125" style="500" customWidth="1"/>
    <col min="262" max="263" width="0" style="500" hidden="1" customWidth="1"/>
    <col min="264" max="264" width="49" style="500" customWidth="1"/>
    <col min="265" max="265" width="31.28515625" style="500" customWidth="1"/>
    <col min="266" max="266" width="12.28515625" style="500" bestFit="1" customWidth="1"/>
    <col min="267" max="511" width="11.42578125" style="500"/>
    <col min="512" max="512" width="37" style="500" customWidth="1"/>
    <col min="513" max="513" width="7.28515625" style="500" bestFit="1" customWidth="1"/>
    <col min="514" max="515" width="17.140625" style="500" customWidth="1"/>
    <col min="516" max="516" width="17.85546875" style="500" customWidth="1"/>
    <col min="517" max="517" width="7.42578125" style="500" customWidth="1"/>
    <col min="518" max="519" width="0" style="500" hidden="1" customWidth="1"/>
    <col min="520" max="520" width="49" style="500" customWidth="1"/>
    <col min="521" max="521" width="31.28515625" style="500" customWidth="1"/>
    <col min="522" max="522" width="12.28515625" style="500" bestFit="1" customWidth="1"/>
    <col min="523" max="767" width="11.42578125" style="500"/>
    <col min="768" max="768" width="37" style="500" customWidth="1"/>
    <col min="769" max="769" width="7.28515625" style="500" bestFit="1" customWidth="1"/>
    <col min="770" max="771" width="17.140625" style="500" customWidth="1"/>
    <col min="772" max="772" width="17.85546875" style="500" customWidth="1"/>
    <col min="773" max="773" width="7.42578125" style="500" customWidth="1"/>
    <col min="774" max="775" width="0" style="500" hidden="1" customWidth="1"/>
    <col min="776" max="776" width="49" style="500" customWidth="1"/>
    <col min="777" max="777" width="31.28515625" style="500" customWidth="1"/>
    <col min="778" max="778" width="12.28515625" style="500" bestFit="1" customWidth="1"/>
    <col min="779" max="1023" width="11.42578125" style="500"/>
    <col min="1024" max="1024" width="37" style="500" customWidth="1"/>
    <col min="1025" max="1025" width="7.28515625" style="500" bestFit="1" customWidth="1"/>
    <col min="1026" max="1027" width="17.140625" style="500" customWidth="1"/>
    <col min="1028" max="1028" width="17.85546875" style="500" customWidth="1"/>
    <col min="1029" max="1029" width="7.42578125" style="500" customWidth="1"/>
    <col min="1030" max="1031" width="0" style="500" hidden="1" customWidth="1"/>
    <col min="1032" max="1032" width="49" style="500" customWidth="1"/>
    <col min="1033" max="1033" width="31.28515625" style="500" customWidth="1"/>
    <col min="1034" max="1034" width="12.28515625" style="500" bestFit="1" customWidth="1"/>
    <col min="1035" max="1279" width="11.42578125" style="500"/>
    <col min="1280" max="1280" width="37" style="500" customWidth="1"/>
    <col min="1281" max="1281" width="7.28515625" style="500" bestFit="1" customWidth="1"/>
    <col min="1282" max="1283" width="17.140625" style="500" customWidth="1"/>
    <col min="1284" max="1284" width="17.85546875" style="500" customWidth="1"/>
    <col min="1285" max="1285" width="7.42578125" style="500" customWidth="1"/>
    <col min="1286" max="1287" width="0" style="500" hidden="1" customWidth="1"/>
    <col min="1288" max="1288" width="49" style="500" customWidth="1"/>
    <col min="1289" max="1289" width="31.28515625" style="500" customWidth="1"/>
    <col min="1290" max="1290" width="12.28515625" style="500" bestFit="1" customWidth="1"/>
    <col min="1291" max="1535" width="11.42578125" style="500"/>
    <col min="1536" max="1536" width="37" style="500" customWidth="1"/>
    <col min="1537" max="1537" width="7.28515625" style="500" bestFit="1" customWidth="1"/>
    <col min="1538" max="1539" width="17.140625" style="500" customWidth="1"/>
    <col min="1540" max="1540" width="17.85546875" style="500" customWidth="1"/>
    <col min="1541" max="1541" width="7.42578125" style="500" customWidth="1"/>
    <col min="1542" max="1543" width="0" style="500" hidden="1" customWidth="1"/>
    <col min="1544" max="1544" width="49" style="500" customWidth="1"/>
    <col min="1545" max="1545" width="31.28515625" style="500" customWidth="1"/>
    <col min="1546" max="1546" width="12.28515625" style="500" bestFit="1" customWidth="1"/>
    <col min="1547" max="1791" width="11.42578125" style="500"/>
    <col min="1792" max="1792" width="37" style="500" customWidth="1"/>
    <col min="1793" max="1793" width="7.28515625" style="500" bestFit="1" customWidth="1"/>
    <col min="1794" max="1795" width="17.140625" style="500" customWidth="1"/>
    <col min="1796" max="1796" width="17.85546875" style="500" customWidth="1"/>
    <col min="1797" max="1797" width="7.42578125" style="500" customWidth="1"/>
    <col min="1798" max="1799" width="0" style="500" hidden="1" customWidth="1"/>
    <col min="1800" max="1800" width="49" style="500" customWidth="1"/>
    <col min="1801" max="1801" width="31.28515625" style="500" customWidth="1"/>
    <col min="1802" max="1802" width="12.28515625" style="500" bestFit="1" customWidth="1"/>
    <col min="1803" max="2047" width="11.42578125" style="500"/>
    <col min="2048" max="2048" width="37" style="500" customWidth="1"/>
    <col min="2049" max="2049" width="7.28515625" style="500" bestFit="1" customWidth="1"/>
    <col min="2050" max="2051" width="17.140625" style="500" customWidth="1"/>
    <col min="2052" max="2052" width="17.85546875" style="500" customWidth="1"/>
    <col min="2053" max="2053" width="7.42578125" style="500" customWidth="1"/>
    <col min="2054" max="2055" width="0" style="500" hidden="1" customWidth="1"/>
    <col min="2056" max="2056" width="49" style="500" customWidth="1"/>
    <col min="2057" max="2057" width="31.28515625" style="500" customWidth="1"/>
    <col min="2058" max="2058" width="12.28515625" style="500" bestFit="1" customWidth="1"/>
    <col min="2059" max="2303" width="11.42578125" style="500"/>
    <col min="2304" max="2304" width="37" style="500" customWidth="1"/>
    <col min="2305" max="2305" width="7.28515625" style="500" bestFit="1" customWidth="1"/>
    <col min="2306" max="2307" width="17.140625" style="500" customWidth="1"/>
    <col min="2308" max="2308" width="17.85546875" style="500" customWidth="1"/>
    <col min="2309" max="2309" width="7.42578125" style="500" customWidth="1"/>
    <col min="2310" max="2311" width="0" style="500" hidden="1" customWidth="1"/>
    <col min="2312" max="2312" width="49" style="500" customWidth="1"/>
    <col min="2313" max="2313" width="31.28515625" style="500" customWidth="1"/>
    <col min="2314" max="2314" width="12.28515625" style="500" bestFit="1" customWidth="1"/>
    <col min="2315" max="2559" width="11.42578125" style="500"/>
    <col min="2560" max="2560" width="37" style="500" customWidth="1"/>
    <col min="2561" max="2561" width="7.28515625" style="500" bestFit="1" customWidth="1"/>
    <col min="2562" max="2563" width="17.140625" style="500" customWidth="1"/>
    <col min="2564" max="2564" width="17.85546875" style="500" customWidth="1"/>
    <col min="2565" max="2565" width="7.42578125" style="500" customWidth="1"/>
    <col min="2566" max="2567" width="0" style="500" hidden="1" customWidth="1"/>
    <col min="2568" max="2568" width="49" style="500" customWidth="1"/>
    <col min="2569" max="2569" width="31.28515625" style="500" customWidth="1"/>
    <col min="2570" max="2570" width="12.28515625" style="500" bestFit="1" customWidth="1"/>
    <col min="2571" max="2815" width="11.42578125" style="500"/>
    <col min="2816" max="2816" width="37" style="500" customWidth="1"/>
    <col min="2817" max="2817" width="7.28515625" style="500" bestFit="1" customWidth="1"/>
    <col min="2818" max="2819" width="17.140625" style="500" customWidth="1"/>
    <col min="2820" max="2820" width="17.85546875" style="500" customWidth="1"/>
    <col min="2821" max="2821" width="7.42578125" style="500" customWidth="1"/>
    <col min="2822" max="2823" width="0" style="500" hidden="1" customWidth="1"/>
    <col min="2824" max="2824" width="49" style="500" customWidth="1"/>
    <col min="2825" max="2825" width="31.28515625" style="500" customWidth="1"/>
    <col min="2826" max="2826" width="12.28515625" style="500" bestFit="1" customWidth="1"/>
    <col min="2827" max="3071" width="11.42578125" style="500"/>
    <col min="3072" max="3072" width="37" style="500" customWidth="1"/>
    <col min="3073" max="3073" width="7.28515625" style="500" bestFit="1" customWidth="1"/>
    <col min="3074" max="3075" width="17.140625" style="500" customWidth="1"/>
    <col min="3076" max="3076" width="17.85546875" style="500" customWidth="1"/>
    <col min="3077" max="3077" width="7.42578125" style="500" customWidth="1"/>
    <col min="3078" max="3079" width="0" style="500" hidden="1" customWidth="1"/>
    <col min="3080" max="3080" width="49" style="500" customWidth="1"/>
    <col min="3081" max="3081" width="31.28515625" style="500" customWidth="1"/>
    <col min="3082" max="3082" width="12.28515625" style="500" bestFit="1" customWidth="1"/>
    <col min="3083" max="3327" width="11.42578125" style="500"/>
    <col min="3328" max="3328" width="37" style="500" customWidth="1"/>
    <col min="3329" max="3329" width="7.28515625" style="500" bestFit="1" customWidth="1"/>
    <col min="3330" max="3331" width="17.140625" style="500" customWidth="1"/>
    <col min="3332" max="3332" width="17.85546875" style="500" customWidth="1"/>
    <col min="3333" max="3333" width="7.42578125" style="500" customWidth="1"/>
    <col min="3334" max="3335" width="0" style="500" hidden="1" customWidth="1"/>
    <col min="3336" max="3336" width="49" style="500" customWidth="1"/>
    <col min="3337" max="3337" width="31.28515625" style="500" customWidth="1"/>
    <col min="3338" max="3338" width="12.28515625" style="500" bestFit="1" customWidth="1"/>
    <col min="3339" max="3583" width="11.42578125" style="500"/>
    <col min="3584" max="3584" width="37" style="500" customWidth="1"/>
    <col min="3585" max="3585" width="7.28515625" style="500" bestFit="1" customWidth="1"/>
    <col min="3586" max="3587" width="17.140625" style="500" customWidth="1"/>
    <col min="3588" max="3588" width="17.85546875" style="500" customWidth="1"/>
    <col min="3589" max="3589" width="7.42578125" style="500" customWidth="1"/>
    <col min="3590" max="3591" width="0" style="500" hidden="1" customWidth="1"/>
    <col min="3592" max="3592" width="49" style="500" customWidth="1"/>
    <col min="3593" max="3593" width="31.28515625" style="500" customWidth="1"/>
    <col min="3594" max="3594" width="12.28515625" style="500" bestFit="1" customWidth="1"/>
    <col min="3595" max="3839" width="11.42578125" style="500"/>
    <col min="3840" max="3840" width="37" style="500" customWidth="1"/>
    <col min="3841" max="3841" width="7.28515625" style="500" bestFit="1" customWidth="1"/>
    <col min="3842" max="3843" width="17.140625" style="500" customWidth="1"/>
    <col min="3844" max="3844" width="17.85546875" style="500" customWidth="1"/>
    <col min="3845" max="3845" width="7.42578125" style="500" customWidth="1"/>
    <col min="3846" max="3847" width="0" style="500" hidden="1" customWidth="1"/>
    <col min="3848" max="3848" width="49" style="500" customWidth="1"/>
    <col min="3849" max="3849" width="31.28515625" style="500" customWidth="1"/>
    <col min="3850" max="3850" width="12.28515625" style="500" bestFit="1" customWidth="1"/>
    <col min="3851" max="4095" width="11.42578125" style="500"/>
    <col min="4096" max="4096" width="37" style="500" customWidth="1"/>
    <col min="4097" max="4097" width="7.28515625" style="500" bestFit="1" customWidth="1"/>
    <col min="4098" max="4099" width="17.140625" style="500" customWidth="1"/>
    <col min="4100" max="4100" width="17.85546875" style="500" customWidth="1"/>
    <col min="4101" max="4101" width="7.42578125" style="500" customWidth="1"/>
    <col min="4102" max="4103" width="0" style="500" hidden="1" customWidth="1"/>
    <col min="4104" max="4104" width="49" style="500" customWidth="1"/>
    <col min="4105" max="4105" width="31.28515625" style="500" customWidth="1"/>
    <col min="4106" max="4106" width="12.28515625" style="500" bestFit="1" customWidth="1"/>
    <col min="4107" max="4351" width="11.42578125" style="500"/>
    <col min="4352" max="4352" width="37" style="500" customWidth="1"/>
    <col min="4353" max="4353" width="7.28515625" style="500" bestFit="1" customWidth="1"/>
    <col min="4354" max="4355" width="17.140625" style="500" customWidth="1"/>
    <col min="4356" max="4356" width="17.85546875" style="500" customWidth="1"/>
    <col min="4357" max="4357" width="7.42578125" style="500" customWidth="1"/>
    <col min="4358" max="4359" width="0" style="500" hidden="1" customWidth="1"/>
    <col min="4360" max="4360" width="49" style="500" customWidth="1"/>
    <col min="4361" max="4361" width="31.28515625" style="500" customWidth="1"/>
    <col min="4362" max="4362" width="12.28515625" style="500" bestFit="1" customWidth="1"/>
    <col min="4363" max="4607" width="11.42578125" style="500"/>
    <col min="4608" max="4608" width="37" style="500" customWidth="1"/>
    <col min="4609" max="4609" width="7.28515625" style="500" bestFit="1" customWidth="1"/>
    <col min="4610" max="4611" width="17.140625" style="500" customWidth="1"/>
    <col min="4612" max="4612" width="17.85546875" style="500" customWidth="1"/>
    <col min="4613" max="4613" width="7.42578125" style="500" customWidth="1"/>
    <col min="4614" max="4615" width="0" style="500" hidden="1" customWidth="1"/>
    <col min="4616" max="4616" width="49" style="500" customWidth="1"/>
    <col min="4617" max="4617" width="31.28515625" style="500" customWidth="1"/>
    <col min="4618" max="4618" width="12.28515625" style="500" bestFit="1" customWidth="1"/>
    <col min="4619" max="4863" width="11.42578125" style="500"/>
    <col min="4864" max="4864" width="37" style="500" customWidth="1"/>
    <col min="4865" max="4865" width="7.28515625" style="500" bestFit="1" customWidth="1"/>
    <col min="4866" max="4867" width="17.140625" style="500" customWidth="1"/>
    <col min="4868" max="4868" width="17.85546875" style="500" customWidth="1"/>
    <col min="4869" max="4869" width="7.42578125" style="500" customWidth="1"/>
    <col min="4870" max="4871" width="0" style="500" hidden="1" customWidth="1"/>
    <col min="4872" max="4872" width="49" style="500" customWidth="1"/>
    <col min="4873" max="4873" width="31.28515625" style="500" customWidth="1"/>
    <col min="4874" max="4874" width="12.28515625" style="500" bestFit="1" customWidth="1"/>
    <col min="4875" max="5119" width="11.42578125" style="500"/>
    <col min="5120" max="5120" width="37" style="500" customWidth="1"/>
    <col min="5121" max="5121" width="7.28515625" style="500" bestFit="1" customWidth="1"/>
    <col min="5122" max="5123" width="17.140625" style="500" customWidth="1"/>
    <col min="5124" max="5124" width="17.85546875" style="500" customWidth="1"/>
    <col min="5125" max="5125" width="7.42578125" style="500" customWidth="1"/>
    <col min="5126" max="5127" width="0" style="500" hidden="1" customWidth="1"/>
    <col min="5128" max="5128" width="49" style="500" customWidth="1"/>
    <col min="5129" max="5129" width="31.28515625" style="500" customWidth="1"/>
    <col min="5130" max="5130" width="12.28515625" style="500" bestFit="1" customWidth="1"/>
    <col min="5131" max="5375" width="11.42578125" style="500"/>
    <col min="5376" max="5376" width="37" style="500" customWidth="1"/>
    <col min="5377" max="5377" width="7.28515625" style="500" bestFit="1" customWidth="1"/>
    <col min="5378" max="5379" width="17.140625" style="500" customWidth="1"/>
    <col min="5380" max="5380" width="17.85546875" style="500" customWidth="1"/>
    <col min="5381" max="5381" width="7.42578125" style="500" customWidth="1"/>
    <col min="5382" max="5383" width="0" style="500" hidden="1" customWidth="1"/>
    <col min="5384" max="5384" width="49" style="500" customWidth="1"/>
    <col min="5385" max="5385" width="31.28515625" style="500" customWidth="1"/>
    <col min="5386" max="5386" width="12.28515625" style="500" bestFit="1" customWidth="1"/>
    <col min="5387" max="5631" width="11.42578125" style="500"/>
    <col min="5632" max="5632" width="37" style="500" customWidth="1"/>
    <col min="5633" max="5633" width="7.28515625" style="500" bestFit="1" customWidth="1"/>
    <col min="5634" max="5635" width="17.140625" style="500" customWidth="1"/>
    <col min="5636" max="5636" width="17.85546875" style="500" customWidth="1"/>
    <col min="5637" max="5637" width="7.42578125" style="500" customWidth="1"/>
    <col min="5638" max="5639" width="0" style="500" hidden="1" customWidth="1"/>
    <col min="5640" max="5640" width="49" style="500" customWidth="1"/>
    <col min="5641" max="5641" width="31.28515625" style="500" customWidth="1"/>
    <col min="5642" max="5642" width="12.28515625" style="500" bestFit="1" customWidth="1"/>
    <col min="5643" max="5887" width="11.42578125" style="500"/>
    <col min="5888" max="5888" width="37" style="500" customWidth="1"/>
    <col min="5889" max="5889" width="7.28515625" style="500" bestFit="1" customWidth="1"/>
    <col min="5890" max="5891" width="17.140625" style="500" customWidth="1"/>
    <col min="5892" max="5892" width="17.85546875" style="500" customWidth="1"/>
    <col min="5893" max="5893" width="7.42578125" style="500" customWidth="1"/>
    <col min="5894" max="5895" width="0" style="500" hidden="1" customWidth="1"/>
    <col min="5896" max="5896" width="49" style="500" customWidth="1"/>
    <col min="5897" max="5897" width="31.28515625" style="500" customWidth="1"/>
    <col min="5898" max="5898" width="12.28515625" style="500" bestFit="1" customWidth="1"/>
    <col min="5899" max="6143" width="11.42578125" style="500"/>
    <col min="6144" max="6144" width="37" style="500" customWidth="1"/>
    <col min="6145" max="6145" width="7.28515625" style="500" bestFit="1" customWidth="1"/>
    <col min="6146" max="6147" width="17.140625" style="500" customWidth="1"/>
    <col min="6148" max="6148" width="17.85546875" style="500" customWidth="1"/>
    <col min="6149" max="6149" width="7.42578125" style="500" customWidth="1"/>
    <col min="6150" max="6151" width="0" style="500" hidden="1" customWidth="1"/>
    <col min="6152" max="6152" width="49" style="500" customWidth="1"/>
    <col min="6153" max="6153" width="31.28515625" style="500" customWidth="1"/>
    <col min="6154" max="6154" width="12.28515625" style="500" bestFit="1" customWidth="1"/>
    <col min="6155" max="6399" width="11.42578125" style="500"/>
    <col min="6400" max="6400" width="37" style="500" customWidth="1"/>
    <col min="6401" max="6401" width="7.28515625" style="500" bestFit="1" customWidth="1"/>
    <col min="6402" max="6403" width="17.140625" style="500" customWidth="1"/>
    <col min="6404" max="6404" width="17.85546875" style="500" customWidth="1"/>
    <col min="6405" max="6405" width="7.42578125" style="500" customWidth="1"/>
    <col min="6406" max="6407" width="0" style="500" hidden="1" customWidth="1"/>
    <col min="6408" max="6408" width="49" style="500" customWidth="1"/>
    <col min="6409" max="6409" width="31.28515625" style="500" customWidth="1"/>
    <col min="6410" max="6410" width="12.28515625" style="500" bestFit="1" customWidth="1"/>
    <col min="6411" max="6655" width="11.42578125" style="500"/>
    <col min="6656" max="6656" width="37" style="500" customWidth="1"/>
    <col min="6657" max="6657" width="7.28515625" style="500" bestFit="1" customWidth="1"/>
    <col min="6658" max="6659" width="17.140625" style="500" customWidth="1"/>
    <col min="6660" max="6660" width="17.85546875" style="500" customWidth="1"/>
    <col min="6661" max="6661" width="7.42578125" style="500" customWidth="1"/>
    <col min="6662" max="6663" width="0" style="500" hidden="1" customWidth="1"/>
    <col min="6664" max="6664" width="49" style="500" customWidth="1"/>
    <col min="6665" max="6665" width="31.28515625" style="500" customWidth="1"/>
    <col min="6666" max="6666" width="12.28515625" style="500" bestFit="1" customWidth="1"/>
    <col min="6667" max="6911" width="11.42578125" style="500"/>
    <col min="6912" max="6912" width="37" style="500" customWidth="1"/>
    <col min="6913" max="6913" width="7.28515625" style="500" bestFit="1" customWidth="1"/>
    <col min="6914" max="6915" width="17.140625" style="500" customWidth="1"/>
    <col min="6916" max="6916" width="17.85546875" style="500" customWidth="1"/>
    <col min="6917" max="6917" width="7.42578125" style="500" customWidth="1"/>
    <col min="6918" max="6919" width="0" style="500" hidden="1" customWidth="1"/>
    <col min="6920" max="6920" width="49" style="500" customWidth="1"/>
    <col min="6921" max="6921" width="31.28515625" style="500" customWidth="1"/>
    <col min="6922" max="6922" width="12.28515625" style="500" bestFit="1" customWidth="1"/>
    <col min="6923" max="7167" width="11.42578125" style="500"/>
    <col min="7168" max="7168" width="37" style="500" customWidth="1"/>
    <col min="7169" max="7169" width="7.28515625" style="500" bestFit="1" customWidth="1"/>
    <col min="7170" max="7171" width="17.140625" style="500" customWidth="1"/>
    <col min="7172" max="7172" width="17.85546875" style="500" customWidth="1"/>
    <col min="7173" max="7173" width="7.42578125" style="500" customWidth="1"/>
    <col min="7174" max="7175" width="0" style="500" hidden="1" customWidth="1"/>
    <col min="7176" max="7176" width="49" style="500" customWidth="1"/>
    <col min="7177" max="7177" width="31.28515625" style="500" customWidth="1"/>
    <col min="7178" max="7178" width="12.28515625" style="500" bestFit="1" customWidth="1"/>
    <col min="7179" max="7423" width="11.42578125" style="500"/>
    <col min="7424" max="7424" width="37" style="500" customWidth="1"/>
    <col min="7425" max="7425" width="7.28515625" style="500" bestFit="1" customWidth="1"/>
    <col min="7426" max="7427" width="17.140625" style="500" customWidth="1"/>
    <col min="7428" max="7428" width="17.85546875" style="500" customWidth="1"/>
    <col min="7429" max="7429" width="7.42578125" style="500" customWidth="1"/>
    <col min="7430" max="7431" width="0" style="500" hidden="1" customWidth="1"/>
    <col min="7432" max="7432" width="49" style="500" customWidth="1"/>
    <col min="7433" max="7433" width="31.28515625" style="500" customWidth="1"/>
    <col min="7434" max="7434" width="12.28515625" style="500" bestFit="1" customWidth="1"/>
    <col min="7435" max="7679" width="11.42578125" style="500"/>
    <col min="7680" max="7680" width="37" style="500" customWidth="1"/>
    <col min="7681" max="7681" width="7.28515625" style="500" bestFit="1" customWidth="1"/>
    <col min="7682" max="7683" width="17.140625" style="500" customWidth="1"/>
    <col min="7684" max="7684" width="17.85546875" style="500" customWidth="1"/>
    <col min="7685" max="7685" width="7.42578125" style="500" customWidth="1"/>
    <col min="7686" max="7687" width="0" style="500" hidden="1" customWidth="1"/>
    <col min="7688" max="7688" width="49" style="500" customWidth="1"/>
    <col min="7689" max="7689" width="31.28515625" style="500" customWidth="1"/>
    <col min="7690" max="7690" width="12.28515625" style="500" bestFit="1" customWidth="1"/>
    <col min="7691" max="7935" width="11.42578125" style="500"/>
    <col min="7936" max="7936" width="37" style="500" customWidth="1"/>
    <col min="7937" max="7937" width="7.28515625" style="500" bestFit="1" customWidth="1"/>
    <col min="7938" max="7939" width="17.140625" style="500" customWidth="1"/>
    <col min="7940" max="7940" width="17.85546875" style="500" customWidth="1"/>
    <col min="7941" max="7941" width="7.42578125" style="500" customWidth="1"/>
    <col min="7942" max="7943" width="0" style="500" hidden="1" customWidth="1"/>
    <col min="7944" max="7944" width="49" style="500" customWidth="1"/>
    <col min="7945" max="7945" width="31.28515625" style="500" customWidth="1"/>
    <col min="7946" max="7946" width="12.28515625" style="500" bestFit="1" customWidth="1"/>
    <col min="7947" max="8191" width="11.42578125" style="500"/>
    <col min="8192" max="8192" width="37" style="500" customWidth="1"/>
    <col min="8193" max="8193" width="7.28515625" style="500" bestFit="1" customWidth="1"/>
    <col min="8194" max="8195" width="17.140625" style="500" customWidth="1"/>
    <col min="8196" max="8196" width="17.85546875" style="500" customWidth="1"/>
    <col min="8197" max="8197" width="7.42578125" style="500" customWidth="1"/>
    <col min="8198" max="8199" width="0" style="500" hidden="1" customWidth="1"/>
    <col min="8200" max="8200" width="49" style="500" customWidth="1"/>
    <col min="8201" max="8201" width="31.28515625" style="500" customWidth="1"/>
    <col min="8202" max="8202" width="12.28515625" style="500" bestFit="1" customWidth="1"/>
    <col min="8203" max="8447" width="11.42578125" style="500"/>
    <col min="8448" max="8448" width="37" style="500" customWidth="1"/>
    <col min="8449" max="8449" width="7.28515625" style="500" bestFit="1" customWidth="1"/>
    <col min="8450" max="8451" width="17.140625" style="500" customWidth="1"/>
    <col min="8452" max="8452" width="17.85546875" style="500" customWidth="1"/>
    <col min="8453" max="8453" width="7.42578125" style="500" customWidth="1"/>
    <col min="8454" max="8455" width="0" style="500" hidden="1" customWidth="1"/>
    <col min="8456" max="8456" width="49" style="500" customWidth="1"/>
    <col min="8457" max="8457" width="31.28515625" style="500" customWidth="1"/>
    <col min="8458" max="8458" width="12.28515625" style="500" bestFit="1" customWidth="1"/>
    <col min="8459" max="8703" width="11.42578125" style="500"/>
    <col min="8704" max="8704" width="37" style="500" customWidth="1"/>
    <col min="8705" max="8705" width="7.28515625" style="500" bestFit="1" customWidth="1"/>
    <col min="8706" max="8707" width="17.140625" style="500" customWidth="1"/>
    <col min="8708" max="8708" width="17.85546875" style="500" customWidth="1"/>
    <col min="8709" max="8709" width="7.42578125" style="500" customWidth="1"/>
    <col min="8710" max="8711" width="0" style="500" hidden="1" customWidth="1"/>
    <col min="8712" max="8712" width="49" style="500" customWidth="1"/>
    <col min="8713" max="8713" width="31.28515625" style="500" customWidth="1"/>
    <col min="8714" max="8714" width="12.28515625" style="500" bestFit="1" customWidth="1"/>
    <col min="8715" max="8959" width="11.42578125" style="500"/>
    <col min="8960" max="8960" width="37" style="500" customWidth="1"/>
    <col min="8961" max="8961" width="7.28515625" style="500" bestFit="1" customWidth="1"/>
    <col min="8962" max="8963" width="17.140625" style="500" customWidth="1"/>
    <col min="8964" max="8964" width="17.85546875" style="500" customWidth="1"/>
    <col min="8965" max="8965" width="7.42578125" style="500" customWidth="1"/>
    <col min="8966" max="8967" width="0" style="500" hidden="1" customWidth="1"/>
    <col min="8968" max="8968" width="49" style="500" customWidth="1"/>
    <col min="8969" max="8969" width="31.28515625" style="500" customWidth="1"/>
    <col min="8970" max="8970" width="12.28515625" style="500" bestFit="1" customWidth="1"/>
    <col min="8971" max="9215" width="11.42578125" style="500"/>
    <col min="9216" max="9216" width="37" style="500" customWidth="1"/>
    <col min="9217" max="9217" width="7.28515625" style="500" bestFit="1" customWidth="1"/>
    <col min="9218" max="9219" width="17.140625" style="500" customWidth="1"/>
    <col min="9220" max="9220" width="17.85546875" style="500" customWidth="1"/>
    <col min="9221" max="9221" width="7.42578125" style="500" customWidth="1"/>
    <col min="9222" max="9223" width="0" style="500" hidden="1" customWidth="1"/>
    <col min="9224" max="9224" width="49" style="500" customWidth="1"/>
    <col min="9225" max="9225" width="31.28515625" style="500" customWidth="1"/>
    <col min="9226" max="9226" width="12.28515625" style="500" bestFit="1" customWidth="1"/>
    <col min="9227" max="9471" width="11.42578125" style="500"/>
    <col min="9472" max="9472" width="37" style="500" customWidth="1"/>
    <col min="9473" max="9473" width="7.28515625" style="500" bestFit="1" customWidth="1"/>
    <col min="9474" max="9475" width="17.140625" style="500" customWidth="1"/>
    <col min="9476" max="9476" width="17.85546875" style="500" customWidth="1"/>
    <col min="9477" max="9477" width="7.42578125" style="500" customWidth="1"/>
    <col min="9478" max="9479" width="0" style="500" hidden="1" customWidth="1"/>
    <col min="9480" max="9480" width="49" style="500" customWidth="1"/>
    <col min="9481" max="9481" width="31.28515625" style="500" customWidth="1"/>
    <col min="9482" max="9482" width="12.28515625" style="500" bestFit="1" customWidth="1"/>
    <col min="9483" max="9727" width="11.42578125" style="500"/>
    <col min="9728" max="9728" width="37" style="500" customWidth="1"/>
    <col min="9729" max="9729" width="7.28515625" style="500" bestFit="1" customWidth="1"/>
    <col min="9730" max="9731" width="17.140625" style="500" customWidth="1"/>
    <col min="9732" max="9732" width="17.85546875" style="500" customWidth="1"/>
    <col min="9733" max="9733" width="7.42578125" style="500" customWidth="1"/>
    <col min="9734" max="9735" width="0" style="500" hidden="1" customWidth="1"/>
    <col min="9736" max="9736" width="49" style="500" customWidth="1"/>
    <col min="9737" max="9737" width="31.28515625" style="500" customWidth="1"/>
    <col min="9738" max="9738" width="12.28515625" style="500" bestFit="1" customWidth="1"/>
    <col min="9739" max="9983" width="11.42578125" style="500"/>
    <col min="9984" max="9984" width="37" style="500" customWidth="1"/>
    <col min="9985" max="9985" width="7.28515625" style="500" bestFit="1" customWidth="1"/>
    <col min="9986" max="9987" width="17.140625" style="500" customWidth="1"/>
    <col min="9988" max="9988" width="17.85546875" style="500" customWidth="1"/>
    <col min="9989" max="9989" width="7.42578125" style="500" customWidth="1"/>
    <col min="9990" max="9991" width="0" style="500" hidden="1" customWidth="1"/>
    <col min="9992" max="9992" width="49" style="500" customWidth="1"/>
    <col min="9993" max="9993" width="31.28515625" style="500" customWidth="1"/>
    <col min="9994" max="9994" width="12.28515625" style="500" bestFit="1" customWidth="1"/>
    <col min="9995" max="10239" width="11.42578125" style="500"/>
    <col min="10240" max="10240" width="37" style="500" customWidth="1"/>
    <col min="10241" max="10241" width="7.28515625" style="500" bestFit="1" customWidth="1"/>
    <col min="10242" max="10243" width="17.140625" style="500" customWidth="1"/>
    <col min="10244" max="10244" width="17.85546875" style="500" customWidth="1"/>
    <col min="10245" max="10245" width="7.42578125" style="500" customWidth="1"/>
    <col min="10246" max="10247" width="0" style="500" hidden="1" customWidth="1"/>
    <col min="10248" max="10248" width="49" style="500" customWidth="1"/>
    <col min="10249" max="10249" width="31.28515625" style="500" customWidth="1"/>
    <col min="10250" max="10250" width="12.28515625" style="500" bestFit="1" customWidth="1"/>
    <col min="10251" max="10495" width="11.42578125" style="500"/>
    <col min="10496" max="10496" width="37" style="500" customWidth="1"/>
    <col min="10497" max="10497" width="7.28515625" style="500" bestFit="1" customWidth="1"/>
    <col min="10498" max="10499" width="17.140625" style="500" customWidth="1"/>
    <col min="10500" max="10500" width="17.85546875" style="500" customWidth="1"/>
    <col min="10501" max="10501" width="7.42578125" style="500" customWidth="1"/>
    <col min="10502" max="10503" width="0" style="500" hidden="1" customWidth="1"/>
    <col min="10504" max="10504" width="49" style="500" customWidth="1"/>
    <col min="10505" max="10505" width="31.28515625" style="500" customWidth="1"/>
    <col min="10506" max="10506" width="12.28515625" style="500" bestFit="1" customWidth="1"/>
    <col min="10507" max="10751" width="11.42578125" style="500"/>
    <col min="10752" max="10752" width="37" style="500" customWidth="1"/>
    <col min="10753" max="10753" width="7.28515625" style="500" bestFit="1" customWidth="1"/>
    <col min="10754" max="10755" width="17.140625" style="500" customWidth="1"/>
    <col min="10756" max="10756" width="17.85546875" style="500" customWidth="1"/>
    <col min="10757" max="10757" width="7.42578125" style="500" customWidth="1"/>
    <col min="10758" max="10759" width="0" style="500" hidden="1" customWidth="1"/>
    <col min="10760" max="10760" width="49" style="500" customWidth="1"/>
    <col min="10761" max="10761" width="31.28515625" style="500" customWidth="1"/>
    <col min="10762" max="10762" width="12.28515625" style="500" bestFit="1" customWidth="1"/>
    <col min="10763" max="11007" width="11.42578125" style="500"/>
    <col min="11008" max="11008" width="37" style="500" customWidth="1"/>
    <col min="11009" max="11009" width="7.28515625" style="500" bestFit="1" customWidth="1"/>
    <col min="11010" max="11011" width="17.140625" style="500" customWidth="1"/>
    <col min="11012" max="11012" width="17.85546875" style="500" customWidth="1"/>
    <col min="11013" max="11013" width="7.42578125" style="500" customWidth="1"/>
    <col min="11014" max="11015" width="0" style="500" hidden="1" customWidth="1"/>
    <col min="11016" max="11016" width="49" style="500" customWidth="1"/>
    <col min="11017" max="11017" width="31.28515625" style="500" customWidth="1"/>
    <col min="11018" max="11018" width="12.28515625" style="500" bestFit="1" customWidth="1"/>
    <col min="11019" max="11263" width="11.42578125" style="500"/>
    <col min="11264" max="11264" width="37" style="500" customWidth="1"/>
    <col min="11265" max="11265" width="7.28515625" style="500" bestFit="1" customWidth="1"/>
    <col min="11266" max="11267" width="17.140625" style="500" customWidth="1"/>
    <col min="11268" max="11268" width="17.85546875" style="500" customWidth="1"/>
    <col min="11269" max="11269" width="7.42578125" style="500" customWidth="1"/>
    <col min="11270" max="11271" width="0" style="500" hidden="1" customWidth="1"/>
    <col min="11272" max="11272" width="49" style="500" customWidth="1"/>
    <col min="11273" max="11273" width="31.28515625" style="500" customWidth="1"/>
    <col min="11274" max="11274" width="12.28515625" style="500" bestFit="1" customWidth="1"/>
    <col min="11275" max="11519" width="11.42578125" style="500"/>
    <col min="11520" max="11520" width="37" style="500" customWidth="1"/>
    <col min="11521" max="11521" width="7.28515625" style="500" bestFit="1" customWidth="1"/>
    <col min="11522" max="11523" width="17.140625" style="500" customWidth="1"/>
    <col min="11524" max="11524" width="17.85546875" style="500" customWidth="1"/>
    <col min="11525" max="11525" width="7.42578125" style="500" customWidth="1"/>
    <col min="11526" max="11527" width="0" style="500" hidden="1" customWidth="1"/>
    <col min="11528" max="11528" width="49" style="500" customWidth="1"/>
    <col min="11529" max="11529" width="31.28515625" style="500" customWidth="1"/>
    <col min="11530" max="11530" width="12.28515625" style="500" bestFit="1" customWidth="1"/>
    <col min="11531" max="11775" width="11.42578125" style="500"/>
    <col min="11776" max="11776" width="37" style="500" customWidth="1"/>
    <col min="11777" max="11777" width="7.28515625" style="500" bestFit="1" customWidth="1"/>
    <col min="11778" max="11779" width="17.140625" style="500" customWidth="1"/>
    <col min="11780" max="11780" width="17.85546875" style="500" customWidth="1"/>
    <col min="11781" max="11781" width="7.42578125" style="500" customWidth="1"/>
    <col min="11782" max="11783" width="0" style="500" hidden="1" customWidth="1"/>
    <col min="11784" max="11784" width="49" style="500" customWidth="1"/>
    <col min="11785" max="11785" width="31.28515625" style="500" customWidth="1"/>
    <col min="11786" max="11786" width="12.28515625" style="500" bestFit="1" customWidth="1"/>
    <col min="11787" max="12031" width="11.42578125" style="500"/>
    <col min="12032" max="12032" width="37" style="500" customWidth="1"/>
    <col min="12033" max="12033" width="7.28515625" style="500" bestFit="1" customWidth="1"/>
    <col min="12034" max="12035" width="17.140625" style="500" customWidth="1"/>
    <col min="12036" max="12036" width="17.85546875" style="500" customWidth="1"/>
    <col min="12037" max="12037" width="7.42578125" style="500" customWidth="1"/>
    <col min="12038" max="12039" width="0" style="500" hidden="1" customWidth="1"/>
    <col min="12040" max="12040" width="49" style="500" customWidth="1"/>
    <col min="12041" max="12041" width="31.28515625" style="500" customWidth="1"/>
    <col min="12042" max="12042" width="12.28515625" style="500" bestFit="1" customWidth="1"/>
    <col min="12043" max="12287" width="11.42578125" style="500"/>
    <col min="12288" max="12288" width="37" style="500" customWidth="1"/>
    <col min="12289" max="12289" width="7.28515625" style="500" bestFit="1" customWidth="1"/>
    <col min="12290" max="12291" width="17.140625" style="500" customWidth="1"/>
    <col min="12292" max="12292" width="17.85546875" style="500" customWidth="1"/>
    <col min="12293" max="12293" width="7.42578125" style="500" customWidth="1"/>
    <col min="12294" max="12295" width="0" style="500" hidden="1" customWidth="1"/>
    <col min="12296" max="12296" width="49" style="500" customWidth="1"/>
    <col min="12297" max="12297" width="31.28515625" style="500" customWidth="1"/>
    <col min="12298" max="12298" width="12.28515625" style="500" bestFit="1" customWidth="1"/>
    <col min="12299" max="12543" width="11.42578125" style="500"/>
    <col min="12544" max="12544" width="37" style="500" customWidth="1"/>
    <col min="12545" max="12545" width="7.28515625" style="500" bestFit="1" customWidth="1"/>
    <col min="12546" max="12547" width="17.140625" style="500" customWidth="1"/>
    <col min="12548" max="12548" width="17.85546875" style="500" customWidth="1"/>
    <col min="12549" max="12549" width="7.42578125" style="500" customWidth="1"/>
    <col min="12550" max="12551" width="0" style="500" hidden="1" customWidth="1"/>
    <col min="12552" max="12552" width="49" style="500" customWidth="1"/>
    <col min="12553" max="12553" width="31.28515625" style="500" customWidth="1"/>
    <col min="12554" max="12554" width="12.28515625" style="500" bestFit="1" customWidth="1"/>
    <col min="12555" max="12799" width="11.42578125" style="500"/>
    <col min="12800" max="12800" width="37" style="500" customWidth="1"/>
    <col min="12801" max="12801" width="7.28515625" style="500" bestFit="1" customWidth="1"/>
    <col min="12802" max="12803" width="17.140625" style="500" customWidth="1"/>
    <col min="12804" max="12804" width="17.85546875" style="500" customWidth="1"/>
    <col min="12805" max="12805" width="7.42578125" style="500" customWidth="1"/>
    <col min="12806" max="12807" width="0" style="500" hidden="1" customWidth="1"/>
    <col min="12808" max="12808" width="49" style="500" customWidth="1"/>
    <col min="12809" max="12809" width="31.28515625" style="500" customWidth="1"/>
    <col min="12810" max="12810" width="12.28515625" style="500" bestFit="1" customWidth="1"/>
    <col min="12811" max="13055" width="11.42578125" style="500"/>
    <col min="13056" max="13056" width="37" style="500" customWidth="1"/>
    <col min="13057" max="13057" width="7.28515625" style="500" bestFit="1" customWidth="1"/>
    <col min="13058" max="13059" width="17.140625" style="500" customWidth="1"/>
    <col min="13060" max="13060" width="17.85546875" style="500" customWidth="1"/>
    <col min="13061" max="13061" width="7.42578125" style="500" customWidth="1"/>
    <col min="13062" max="13063" width="0" style="500" hidden="1" customWidth="1"/>
    <col min="13064" max="13064" width="49" style="500" customWidth="1"/>
    <col min="13065" max="13065" width="31.28515625" style="500" customWidth="1"/>
    <col min="13066" max="13066" width="12.28515625" style="500" bestFit="1" customWidth="1"/>
    <col min="13067" max="13311" width="11.42578125" style="500"/>
    <col min="13312" max="13312" width="37" style="500" customWidth="1"/>
    <col min="13313" max="13313" width="7.28515625" style="500" bestFit="1" customWidth="1"/>
    <col min="13314" max="13315" width="17.140625" style="500" customWidth="1"/>
    <col min="13316" max="13316" width="17.85546875" style="500" customWidth="1"/>
    <col min="13317" max="13317" width="7.42578125" style="500" customWidth="1"/>
    <col min="13318" max="13319" width="0" style="500" hidden="1" customWidth="1"/>
    <col min="13320" max="13320" width="49" style="500" customWidth="1"/>
    <col min="13321" max="13321" width="31.28515625" style="500" customWidth="1"/>
    <col min="13322" max="13322" width="12.28515625" style="500" bestFit="1" customWidth="1"/>
    <col min="13323" max="13567" width="11.42578125" style="500"/>
    <col min="13568" max="13568" width="37" style="500" customWidth="1"/>
    <col min="13569" max="13569" width="7.28515625" style="500" bestFit="1" customWidth="1"/>
    <col min="13570" max="13571" width="17.140625" style="500" customWidth="1"/>
    <col min="13572" max="13572" width="17.85546875" style="500" customWidth="1"/>
    <col min="13573" max="13573" width="7.42578125" style="500" customWidth="1"/>
    <col min="13574" max="13575" width="0" style="500" hidden="1" customWidth="1"/>
    <col min="13576" max="13576" width="49" style="500" customWidth="1"/>
    <col min="13577" max="13577" width="31.28515625" style="500" customWidth="1"/>
    <col min="13578" max="13578" width="12.28515625" style="500" bestFit="1" customWidth="1"/>
    <col min="13579" max="13823" width="11.42578125" style="500"/>
    <col min="13824" max="13824" width="37" style="500" customWidth="1"/>
    <col min="13825" max="13825" width="7.28515625" style="500" bestFit="1" customWidth="1"/>
    <col min="13826" max="13827" width="17.140625" style="500" customWidth="1"/>
    <col min="13828" max="13828" width="17.85546875" style="500" customWidth="1"/>
    <col min="13829" max="13829" width="7.42578125" style="500" customWidth="1"/>
    <col min="13830" max="13831" width="0" style="500" hidden="1" customWidth="1"/>
    <col min="13832" max="13832" width="49" style="500" customWidth="1"/>
    <col min="13833" max="13833" width="31.28515625" style="500" customWidth="1"/>
    <col min="13834" max="13834" width="12.28515625" style="500" bestFit="1" customWidth="1"/>
    <col min="13835" max="14079" width="11.42578125" style="500"/>
    <col min="14080" max="14080" width="37" style="500" customWidth="1"/>
    <col min="14081" max="14081" width="7.28515625" style="500" bestFit="1" customWidth="1"/>
    <col min="14082" max="14083" width="17.140625" style="500" customWidth="1"/>
    <col min="14084" max="14084" width="17.85546875" style="500" customWidth="1"/>
    <col min="14085" max="14085" width="7.42578125" style="500" customWidth="1"/>
    <col min="14086" max="14087" width="0" style="500" hidden="1" customWidth="1"/>
    <col min="14088" max="14088" width="49" style="500" customWidth="1"/>
    <col min="14089" max="14089" width="31.28515625" style="500" customWidth="1"/>
    <col min="14090" max="14090" width="12.28515625" style="500" bestFit="1" customWidth="1"/>
    <col min="14091" max="14335" width="11.42578125" style="500"/>
    <col min="14336" max="14336" width="37" style="500" customWidth="1"/>
    <col min="14337" max="14337" width="7.28515625" style="500" bestFit="1" customWidth="1"/>
    <col min="14338" max="14339" width="17.140625" style="500" customWidth="1"/>
    <col min="14340" max="14340" width="17.85546875" style="500" customWidth="1"/>
    <col min="14341" max="14341" width="7.42578125" style="500" customWidth="1"/>
    <col min="14342" max="14343" width="0" style="500" hidden="1" customWidth="1"/>
    <col min="14344" max="14344" width="49" style="500" customWidth="1"/>
    <col min="14345" max="14345" width="31.28515625" style="500" customWidth="1"/>
    <col min="14346" max="14346" width="12.28515625" style="500" bestFit="1" customWidth="1"/>
    <col min="14347" max="14591" width="11.42578125" style="500"/>
    <col min="14592" max="14592" width="37" style="500" customWidth="1"/>
    <col min="14593" max="14593" width="7.28515625" style="500" bestFit="1" customWidth="1"/>
    <col min="14594" max="14595" width="17.140625" style="500" customWidth="1"/>
    <col min="14596" max="14596" width="17.85546875" style="500" customWidth="1"/>
    <col min="14597" max="14597" width="7.42578125" style="500" customWidth="1"/>
    <col min="14598" max="14599" width="0" style="500" hidden="1" customWidth="1"/>
    <col min="14600" max="14600" width="49" style="500" customWidth="1"/>
    <col min="14601" max="14601" width="31.28515625" style="500" customWidth="1"/>
    <col min="14602" max="14602" width="12.28515625" style="500" bestFit="1" customWidth="1"/>
    <col min="14603" max="14847" width="11.42578125" style="500"/>
    <col min="14848" max="14848" width="37" style="500" customWidth="1"/>
    <col min="14849" max="14849" width="7.28515625" style="500" bestFit="1" customWidth="1"/>
    <col min="14850" max="14851" width="17.140625" style="500" customWidth="1"/>
    <col min="14852" max="14852" width="17.85546875" style="500" customWidth="1"/>
    <col min="14853" max="14853" width="7.42578125" style="500" customWidth="1"/>
    <col min="14854" max="14855" width="0" style="500" hidden="1" customWidth="1"/>
    <col min="14856" max="14856" width="49" style="500" customWidth="1"/>
    <col min="14857" max="14857" width="31.28515625" style="500" customWidth="1"/>
    <col min="14858" max="14858" width="12.28515625" style="500" bestFit="1" customWidth="1"/>
    <col min="14859" max="15103" width="11.42578125" style="500"/>
    <col min="15104" max="15104" width="37" style="500" customWidth="1"/>
    <col min="15105" max="15105" width="7.28515625" style="500" bestFit="1" customWidth="1"/>
    <col min="15106" max="15107" width="17.140625" style="500" customWidth="1"/>
    <col min="15108" max="15108" width="17.85546875" style="500" customWidth="1"/>
    <col min="15109" max="15109" width="7.42578125" style="500" customWidth="1"/>
    <col min="15110" max="15111" width="0" style="500" hidden="1" customWidth="1"/>
    <col min="15112" max="15112" width="49" style="500" customWidth="1"/>
    <col min="15113" max="15113" width="31.28515625" style="500" customWidth="1"/>
    <col min="15114" max="15114" width="12.28515625" style="500" bestFit="1" customWidth="1"/>
    <col min="15115" max="15359" width="11.42578125" style="500"/>
    <col min="15360" max="15360" width="37" style="500" customWidth="1"/>
    <col min="15361" max="15361" width="7.28515625" style="500" bestFit="1" customWidth="1"/>
    <col min="15362" max="15363" width="17.140625" style="500" customWidth="1"/>
    <col min="15364" max="15364" width="17.85546875" style="500" customWidth="1"/>
    <col min="15365" max="15365" width="7.42578125" style="500" customWidth="1"/>
    <col min="15366" max="15367" width="0" style="500" hidden="1" customWidth="1"/>
    <col min="15368" max="15368" width="49" style="500" customWidth="1"/>
    <col min="15369" max="15369" width="31.28515625" style="500" customWidth="1"/>
    <col min="15370" max="15370" width="12.28515625" style="500" bestFit="1" customWidth="1"/>
    <col min="15371" max="15615" width="11.42578125" style="500"/>
    <col min="15616" max="15616" width="37" style="500" customWidth="1"/>
    <col min="15617" max="15617" width="7.28515625" style="500" bestFit="1" customWidth="1"/>
    <col min="15618" max="15619" width="17.140625" style="500" customWidth="1"/>
    <col min="15620" max="15620" width="17.85546875" style="500" customWidth="1"/>
    <col min="15621" max="15621" width="7.42578125" style="500" customWidth="1"/>
    <col min="15622" max="15623" width="0" style="500" hidden="1" customWidth="1"/>
    <col min="15624" max="15624" width="49" style="500" customWidth="1"/>
    <col min="15625" max="15625" width="31.28515625" style="500" customWidth="1"/>
    <col min="15626" max="15626" width="12.28515625" style="500" bestFit="1" customWidth="1"/>
    <col min="15627" max="15871" width="11.42578125" style="500"/>
    <col min="15872" max="15872" width="37" style="500" customWidth="1"/>
    <col min="15873" max="15873" width="7.28515625" style="500" bestFit="1" customWidth="1"/>
    <col min="15874" max="15875" width="17.140625" style="500" customWidth="1"/>
    <col min="15876" max="15876" width="17.85546875" style="500" customWidth="1"/>
    <col min="15877" max="15877" width="7.42578125" style="500" customWidth="1"/>
    <col min="15878" max="15879" width="0" style="500" hidden="1" customWidth="1"/>
    <col min="15880" max="15880" width="49" style="500" customWidth="1"/>
    <col min="15881" max="15881" width="31.28515625" style="500" customWidth="1"/>
    <col min="15882" max="15882" width="12.28515625" style="500" bestFit="1" customWidth="1"/>
    <col min="15883" max="16127" width="11.42578125" style="500"/>
    <col min="16128" max="16128" width="37" style="500" customWidth="1"/>
    <col min="16129" max="16129" width="7.28515625" style="500" bestFit="1" customWidth="1"/>
    <col min="16130" max="16131" width="17.140625" style="500" customWidth="1"/>
    <col min="16132" max="16132" width="17.85546875" style="500" customWidth="1"/>
    <col min="16133" max="16133" width="7.42578125" style="500" customWidth="1"/>
    <col min="16134" max="16135" width="0" style="500" hidden="1" customWidth="1"/>
    <col min="16136" max="16136" width="49" style="500" customWidth="1"/>
    <col min="16137" max="16137" width="31.28515625" style="500" customWidth="1"/>
    <col min="16138" max="16138" width="12.28515625" style="500" bestFit="1" customWidth="1"/>
    <col min="16139" max="16384" width="11.42578125" style="500"/>
  </cols>
  <sheetData>
    <row r="1" spans="1:12">
      <c r="A1" s="499" t="s">
        <v>49</v>
      </c>
      <c r="B1" s="499"/>
      <c r="C1" s="499"/>
      <c r="D1" s="499"/>
    </row>
    <row r="2" spans="1:12">
      <c r="A2" s="499" t="s">
        <v>50</v>
      </c>
      <c r="B2" s="499"/>
      <c r="C2" s="499"/>
      <c r="D2" s="499"/>
    </row>
    <row r="3" spans="1:12">
      <c r="A3" s="855" t="s">
        <v>366</v>
      </c>
      <c r="B3" s="855"/>
      <c r="C3" s="855"/>
      <c r="D3" s="855"/>
      <c r="E3" s="855"/>
    </row>
    <row r="4" spans="1:12">
      <c r="A4" s="855" t="s">
        <v>52</v>
      </c>
      <c r="B4" s="855"/>
      <c r="C4" s="855"/>
      <c r="D4" s="855"/>
      <c r="E4" s="855"/>
    </row>
    <row r="5" spans="1:12">
      <c r="A5" s="50"/>
      <c r="B5" s="390"/>
      <c r="C5" s="390"/>
      <c r="D5" s="391"/>
      <c r="E5" s="391"/>
    </row>
    <row r="6" spans="1:12">
      <c r="B6" s="390">
        <v>43862</v>
      </c>
      <c r="C6" s="390">
        <v>43831</v>
      </c>
      <c r="D6" s="501" t="s">
        <v>545</v>
      </c>
      <c r="E6" s="501" t="s">
        <v>17</v>
      </c>
      <c r="F6" s="502">
        <v>2009</v>
      </c>
      <c r="G6" s="502">
        <v>2008</v>
      </c>
    </row>
    <row r="7" spans="1:12" ht="19.5" customHeight="1">
      <c r="A7" s="503" t="s">
        <v>0</v>
      </c>
      <c r="B7" s="504"/>
      <c r="C7" s="504"/>
      <c r="F7" s="504"/>
      <c r="G7" s="504"/>
      <c r="H7" s="389"/>
      <c r="I7" s="593"/>
    </row>
    <row r="8" spans="1:12" s="508" customFormat="1" ht="19.5" customHeight="1">
      <c r="A8" s="509" t="s">
        <v>55</v>
      </c>
      <c r="B8" s="511">
        <f>SUM(B9:B10)</f>
        <v>168722055.90999985</v>
      </c>
      <c r="C8" s="511">
        <f>SUM(C9:C10)</f>
        <v>141665451.90999985</v>
      </c>
      <c r="D8" s="511">
        <f>SUM(D9:D10)</f>
        <v>27056604</v>
      </c>
      <c r="E8" s="512">
        <f>+B8/C8-1</f>
        <v>0.1909894306283586</v>
      </c>
      <c r="F8" s="511">
        <f>SUM(F9:F10)</f>
        <v>0</v>
      </c>
      <c r="G8" s="511">
        <f>SUM(G9:G10)</f>
        <v>0</v>
      </c>
      <c r="H8" s="389"/>
      <c r="I8" s="593"/>
      <c r="J8" s="531"/>
    </row>
    <row r="9" spans="1:12" s="508" customFormat="1" ht="15.75">
      <c r="A9" s="513" t="s">
        <v>56</v>
      </c>
      <c r="B9" s="514">
        <v>600000</v>
      </c>
      <c r="C9" s="514">
        <v>600000</v>
      </c>
      <c r="D9" s="515">
        <f>+B9-C9</f>
        <v>0</v>
      </c>
      <c r="E9" s="516">
        <f>IF(C9=0,0,D9/C9)</f>
        <v>0</v>
      </c>
      <c r="F9" s="517"/>
      <c r="G9" s="517"/>
      <c r="H9" s="389"/>
      <c r="I9" s="593"/>
    </row>
    <row r="10" spans="1:12" s="508" customFormat="1" ht="15.75">
      <c r="A10" s="513" t="s">
        <v>1</v>
      </c>
      <c r="B10" s="514">
        <v>168122055.90999985</v>
      </c>
      <c r="C10" s="514">
        <v>141065451.90999985</v>
      </c>
      <c r="D10" s="515">
        <f>+B10-C10</f>
        <v>27056604</v>
      </c>
      <c r="E10" s="516">
        <f>IF(C10=0,0,D10/C10)</f>
        <v>0.1918017745213916</v>
      </c>
      <c r="F10" s="517"/>
      <c r="G10" s="517"/>
      <c r="H10" s="389"/>
      <c r="I10" s="593"/>
    </row>
    <row r="11" spans="1:12" s="508" customFormat="1" ht="21" customHeight="1">
      <c r="A11" s="509" t="s">
        <v>546</v>
      </c>
      <c r="B11" s="520">
        <v>17866164</v>
      </c>
      <c r="C11" s="520">
        <v>17819290.930000052</v>
      </c>
      <c r="D11" s="511">
        <f>+B11-C11</f>
        <v>46873.069999948144</v>
      </c>
      <c r="E11" s="512">
        <f>+B11/C11-1</f>
        <v>2.6304677433057755E-3</v>
      </c>
      <c r="F11" s="511"/>
      <c r="G11" s="511"/>
      <c r="H11" s="389"/>
      <c r="I11" s="593"/>
      <c r="J11" s="521"/>
    </row>
    <row r="12" spans="1:12" s="508" customFormat="1" ht="24.75" customHeight="1">
      <c r="A12" s="509" t="s">
        <v>61</v>
      </c>
      <c r="B12" s="511">
        <f>SUM(B13:B17)</f>
        <v>70590828</v>
      </c>
      <c r="C12" s="511">
        <f>SUM(C13:C17)</f>
        <v>86355633</v>
      </c>
      <c r="D12" s="511">
        <f>SUM(D13:D17)</f>
        <v>-15764805</v>
      </c>
      <c r="E12" s="512">
        <f>+B12/C12-1</f>
        <v>-0.18255676499991613</v>
      </c>
      <c r="F12" s="511">
        <f>SUM(F13:F16)</f>
        <v>35625500</v>
      </c>
      <c r="G12" s="511">
        <f>SUM(G13:G16)</f>
        <v>30767660</v>
      </c>
      <c r="H12" s="389"/>
      <c r="I12" s="593"/>
      <c r="J12" s="390">
        <v>43800</v>
      </c>
      <c r="K12" s="508" t="s">
        <v>703</v>
      </c>
    </row>
    <row r="13" spans="1:12" s="508" customFormat="1" ht="15.75">
      <c r="A13" s="513" t="s">
        <v>62</v>
      </c>
      <c r="B13" s="514">
        <v>68174204</v>
      </c>
      <c r="C13" s="514">
        <v>79397959</v>
      </c>
      <c r="D13" s="515">
        <f t="shared" ref="D13:D18" si="0">+B13-C13</f>
        <v>-11223755</v>
      </c>
      <c r="E13" s="516">
        <f t="shared" ref="E13:E17" si="1">IF(C13=0,0,D13/C13)</f>
        <v>-0.14136074958803413</v>
      </c>
      <c r="F13" s="518">
        <v>33892500</v>
      </c>
      <c r="G13" s="518">
        <v>29624680</v>
      </c>
      <c r="H13" s="601">
        <f>SUM(B13:B16)</f>
        <v>73404004</v>
      </c>
      <c r="I13" s="593"/>
      <c r="J13" s="514">
        <f>+'[3]comp (2)'!$C$17</f>
        <v>75083344</v>
      </c>
      <c r="K13" s="543">
        <f>+B13-J13</f>
        <v>-6909140</v>
      </c>
      <c r="L13" s="516">
        <f t="shared" ref="L13:L17" si="2">IF(J13=0,0,K13/J13)</f>
        <v>-9.20196095688013E-2</v>
      </c>
    </row>
    <row r="14" spans="1:12" s="508" customFormat="1" ht="15.75">
      <c r="A14" s="513" t="s">
        <v>63</v>
      </c>
      <c r="B14" s="514">
        <v>2468550</v>
      </c>
      <c r="C14" s="514">
        <v>3610200</v>
      </c>
      <c r="D14" s="515">
        <f t="shared" si="0"/>
        <v>-1141650</v>
      </c>
      <c r="E14" s="516">
        <f t="shared" si="1"/>
        <v>-0.31622901778294832</v>
      </c>
      <c r="F14" s="518"/>
      <c r="G14" s="518">
        <v>20000</v>
      </c>
      <c r="H14" s="389"/>
      <c r="I14" s="593"/>
      <c r="J14" s="514">
        <f>+'[3]comp (2)'!$C$18</f>
        <v>3610200</v>
      </c>
      <c r="K14" s="543">
        <f t="shared" ref="K14:K16" si="3">+B14-J14</f>
        <v>-1141650</v>
      </c>
      <c r="L14" s="516">
        <f t="shared" si="2"/>
        <v>-0.31622901778294832</v>
      </c>
    </row>
    <row r="15" spans="1:12" s="508" customFormat="1" ht="15.75">
      <c r="A15" s="523" t="s">
        <v>64</v>
      </c>
      <c r="B15" s="514">
        <f>173000+1305650</f>
        <v>1478650</v>
      </c>
      <c r="C15" s="514">
        <f>3978450+8000</f>
        <v>3986450</v>
      </c>
      <c r="D15" s="515">
        <f t="shared" si="0"/>
        <v>-2507800</v>
      </c>
      <c r="E15" s="516">
        <f t="shared" si="1"/>
        <v>-0.62908101192790578</v>
      </c>
      <c r="F15" s="518">
        <f>900000+178000</f>
        <v>1078000</v>
      </c>
      <c r="G15" s="518">
        <v>420000</v>
      </c>
      <c r="H15" s="389"/>
      <c r="I15" s="593"/>
      <c r="J15" s="514">
        <f>+'[3]comp (2)'!$C$19</f>
        <v>2740800</v>
      </c>
      <c r="K15" s="543">
        <f t="shared" si="3"/>
        <v>-1262150</v>
      </c>
      <c r="L15" s="516">
        <f t="shared" si="2"/>
        <v>-0.46050423234092236</v>
      </c>
    </row>
    <row r="16" spans="1:12" s="508" customFormat="1" ht="15.75">
      <c r="A16" s="513" t="s">
        <v>547</v>
      </c>
      <c r="B16" s="514">
        <f>1189100+18100+75400</f>
        <v>1282600</v>
      </c>
      <c r="C16" s="514">
        <f>1867100+4000+33100+270000</f>
        <v>2174200</v>
      </c>
      <c r="D16" s="515">
        <f t="shared" si="0"/>
        <v>-891600</v>
      </c>
      <c r="E16" s="516">
        <f t="shared" si="1"/>
        <v>-0.4100818691932665</v>
      </c>
      <c r="F16" s="518">
        <f>162000+206000+287000</f>
        <v>655000</v>
      </c>
      <c r="G16" s="518">
        <f>632000+70980</f>
        <v>702980</v>
      </c>
      <c r="H16" s="389"/>
      <c r="I16" s="593"/>
      <c r="J16" s="514">
        <f>+'[3]comp (2)'!$C$20</f>
        <v>2797900</v>
      </c>
      <c r="K16" s="543">
        <f t="shared" si="3"/>
        <v>-1515300</v>
      </c>
      <c r="L16" s="516">
        <f t="shared" si="2"/>
        <v>-0.54158475999857036</v>
      </c>
    </row>
    <row r="17" spans="1:12" s="508" customFormat="1" ht="15.75">
      <c r="A17" s="513" t="s">
        <v>66</v>
      </c>
      <c r="B17" s="514">
        <v>-2813176</v>
      </c>
      <c r="C17" s="514">
        <v>-2813176</v>
      </c>
      <c r="D17" s="515">
        <f t="shared" si="0"/>
        <v>0</v>
      </c>
      <c r="E17" s="516">
        <f t="shared" si="1"/>
        <v>0</v>
      </c>
      <c r="F17" s="518"/>
      <c r="G17" s="518"/>
      <c r="H17" s="389"/>
      <c r="I17" s="593"/>
      <c r="J17" s="600">
        <f>SUM(J13:J16)</f>
        <v>84232244</v>
      </c>
      <c r="K17" s="600">
        <f>SUM(K13:K16)</f>
        <v>-10828240</v>
      </c>
      <c r="L17" s="516">
        <f t="shared" si="2"/>
        <v>-0.12855219670984902</v>
      </c>
    </row>
    <row r="18" spans="1:12" s="508" customFormat="1" ht="23.25" customHeight="1">
      <c r="A18" s="509" t="s">
        <v>67</v>
      </c>
      <c r="B18" s="520">
        <v>-20887675</v>
      </c>
      <c r="C18" s="520">
        <f>+[3]dic19!C21</f>
        <v>-33680235</v>
      </c>
      <c r="D18" s="511">
        <f t="shared" si="0"/>
        <v>12792560</v>
      </c>
      <c r="E18" s="512">
        <f>+B18/C18-1</f>
        <v>-0.37982395312859307</v>
      </c>
      <c r="F18" s="511"/>
      <c r="G18" s="511"/>
      <c r="H18" s="389"/>
      <c r="I18" s="593"/>
    </row>
    <row r="19" spans="1:12" s="508" customFormat="1" ht="24.75" customHeight="1">
      <c r="A19" s="509" t="s">
        <v>68</v>
      </c>
      <c r="B19" s="511">
        <f>+B20+B21</f>
        <v>7670074</v>
      </c>
      <c r="C19" s="511">
        <f>+C20+C21</f>
        <v>5740013</v>
      </c>
      <c r="D19" s="511">
        <f>+B19-C19</f>
        <v>1930061</v>
      </c>
      <c r="E19" s="512">
        <f>+B19/C19-1</f>
        <v>0.33624679944104652</v>
      </c>
      <c r="F19" s="511">
        <f>+F20+F21</f>
        <v>0</v>
      </c>
      <c r="G19" s="511">
        <f>+G20+G21</f>
        <v>0</v>
      </c>
      <c r="H19" s="389"/>
      <c r="I19" s="593"/>
    </row>
    <row r="20" spans="1:12" s="508" customFormat="1" ht="15.75">
      <c r="A20" s="513" t="s">
        <v>548</v>
      </c>
      <c r="B20" s="514">
        <v>7570374</v>
      </c>
      <c r="C20" s="514">
        <v>5625313</v>
      </c>
      <c r="D20" s="515">
        <f>+B20-C20</f>
        <v>1945061</v>
      </c>
      <c r="E20" s="516">
        <f>IF(C20=0,0,D20/C20)</f>
        <v>0.34576938207705066</v>
      </c>
      <c r="F20" s="518"/>
      <c r="G20" s="518"/>
      <c r="H20" s="389"/>
      <c r="I20" s="593"/>
      <c r="J20" s="521"/>
    </row>
    <row r="21" spans="1:12" s="508" customFormat="1" ht="15.75">
      <c r="A21" s="513" t="s">
        <v>686</v>
      </c>
      <c r="B21" s="514">
        <v>99700</v>
      </c>
      <c r="C21" s="514">
        <v>114700</v>
      </c>
      <c r="D21" s="515">
        <f>+B21-C21</f>
        <v>-15000</v>
      </c>
      <c r="E21" s="516">
        <f>IF(C21=0,0,D21/C21)</f>
        <v>-0.13077593722755013</v>
      </c>
      <c r="F21" s="518"/>
      <c r="G21" s="518"/>
      <c r="H21" s="389"/>
      <c r="I21" s="593"/>
    </row>
    <row r="22" spans="1:12" s="508" customFormat="1" ht="25.5" customHeight="1">
      <c r="A22" s="509" t="s">
        <v>77</v>
      </c>
      <c r="B22" s="511">
        <f>SUM(B23:B23)</f>
        <v>21445342</v>
      </c>
      <c r="C22" s="511">
        <f>SUM(C23:C23)</f>
        <v>25019565</v>
      </c>
      <c r="D22" s="511">
        <f>SUM(D23:D23)</f>
        <v>-3574223</v>
      </c>
      <c r="E22" s="512">
        <f>+B22/C22-1</f>
        <v>-0.14285712001787398</v>
      </c>
      <c r="F22" s="511">
        <f>SUM(F23:F23)</f>
        <v>0</v>
      </c>
      <c r="G22" s="511">
        <f>SUM(G23:G23)</f>
        <v>0</v>
      </c>
      <c r="H22" s="389"/>
      <c r="I22" s="593"/>
    </row>
    <row r="23" spans="1:12" s="508" customFormat="1" ht="17.25" customHeight="1">
      <c r="A23" s="526" t="s">
        <v>78</v>
      </c>
      <c r="B23" s="514">
        <v>21445342</v>
      </c>
      <c r="C23" s="514">
        <v>25019565</v>
      </c>
      <c r="D23" s="515">
        <f>+B23-C23</f>
        <v>-3574223</v>
      </c>
      <c r="E23" s="516">
        <f>IF(C23=0,0,D23/C23)</f>
        <v>-0.14285712001787401</v>
      </c>
      <c r="F23" s="524"/>
      <c r="G23" s="524"/>
      <c r="H23" s="389"/>
      <c r="I23" s="593"/>
    </row>
    <row r="24" spans="1:12" s="508" customFormat="1" ht="22.5" customHeight="1">
      <c r="A24" s="510" t="s">
        <v>3</v>
      </c>
      <c r="B24" s="525">
        <f>+B8+B11+B12+B18+B19+B22</f>
        <v>265406788.90999985</v>
      </c>
      <c r="C24" s="525">
        <f>+C8+C11+C12+C18+C19+C22</f>
        <v>242919718.83999991</v>
      </c>
      <c r="D24" s="525">
        <f>+D8+D11+D12+D18+D19+D22</f>
        <v>22487070.069999948</v>
      </c>
      <c r="E24" s="512">
        <f>+B24/C24-1</f>
        <v>9.2569965819905953E-2</v>
      </c>
      <c r="F24" s="525" t="e">
        <f>+F8+F11+F12+F18+#REF!+F19+#REF!+#REF!+F22</f>
        <v>#REF!</v>
      </c>
      <c r="G24" s="525" t="e">
        <f>+G8+G11+G12+G18+#REF!+G19+#REF!+#REF!+G22</f>
        <v>#REF!</v>
      </c>
      <c r="H24" s="389"/>
      <c r="I24" s="593"/>
    </row>
    <row r="25" spans="1:12" s="508" customFormat="1" ht="15.75">
      <c r="A25" s="513"/>
      <c r="B25" s="518"/>
      <c r="C25" s="518"/>
      <c r="D25" s="529"/>
      <c r="F25" s="518"/>
      <c r="G25" s="518"/>
      <c r="H25" s="389"/>
      <c r="I25" s="593"/>
    </row>
    <row r="26" spans="1:12" s="508" customFormat="1" ht="12.75" customHeight="1">
      <c r="A26" s="506" t="s">
        <v>4</v>
      </c>
      <c r="B26" s="518"/>
      <c r="C26" s="518"/>
      <c r="E26" s="519"/>
      <c r="F26" s="518"/>
      <c r="G26" s="518"/>
      <c r="H26" s="389"/>
      <c r="I26" s="593"/>
    </row>
    <row r="27" spans="1:12" s="508" customFormat="1" ht="25.5" customHeight="1">
      <c r="A27" s="530" t="s">
        <v>5</v>
      </c>
      <c r="B27" s="525">
        <f>SUM(B28:B39)</f>
        <v>84652618</v>
      </c>
      <c r="C27" s="525">
        <f>SUM(C28:C39)</f>
        <v>81520689</v>
      </c>
      <c r="D27" s="525">
        <f>+B27-C27</f>
        <v>3131929</v>
      </c>
      <c r="E27" s="512">
        <f>+B27/C27-1</f>
        <v>3.8418823962589332E-2</v>
      </c>
      <c r="F27" s="525">
        <f>SUM(F28:F30)</f>
        <v>0</v>
      </c>
      <c r="G27" s="525">
        <f>SUM(G28:G30)</f>
        <v>0</v>
      </c>
      <c r="H27" s="389"/>
      <c r="I27" s="593"/>
      <c r="J27" s="531"/>
    </row>
    <row r="28" spans="1:12" s="508" customFormat="1" ht="15.75">
      <c r="A28" s="513" t="s">
        <v>6</v>
      </c>
      <c r="B28" s="514"/>
      <c r="C28" s="514">
        <v>610630</v>
      </c>
      <c r="D28" s="515">
        <f t="shared" ref="D28:D39" si="4">+B28-C28</f>
        <v>-610630</v>
      </c>
      <c r="E28" s="516">
        <f t="shared" ref="E28:E39" si="5">IF(C28=0,0,D28/C28)</f>
        <v>-1</v>
      </c>
      <c r="F28" s="518"/>
      <c r="G28" s="518"/>
      <c r="H28" s="389"/>
      <c r="I28" s="593"/>
    </row>
    <row r="29" spans="1:12" s="508" customFormat="1" ht="15.75">
      <c r="A29" s="513" t="s">
        <v>515</v>
      </c>
      <c r="B29" s="514">
        <v>2844000</v>
      </c>
      <c r="C29" s="514">
        <v>2585651</v>
      </c>
      <c r="D29" s="515">
        <f t="shared" si="4"/>
        <v>258349</v>
      </c>
      <c r="E29" s="516">
        <f t="shared" si="5"/>
        <v>9.9916423368815052E-2</v>
      </c>
      <c r="F29" s="518"/>
      <c r="G29" s="518"/>
      <c r="H29" s="389"/>
      <c r="I29" s="593"/>
    </row>
    <row r="30" spans="1:12" s="508" customFormat="1" ht="15.75">
      <c r="A30" s="513" t="s">
        <v>81</v>
      </c>
      <c r="B30" s="514">
        <v>4261000</v>
      </c>
      <c r="C30" s="514">
        <v>4261000</v>
      </c>
      <c r="D30" s="515">
        <f t="shared" si="4"/>
        <v>0</v>
      </c>
      <c r="E30" s="516">
        <f t="shared" si="5"/>
        <v>0</v>
      </c>
      <c r="F30" s="518"/>
      <c r="G30" s="518"/>
      <c r="H30" s="389"/>
      <c r="I30" s="593"/>
    </row>
    <row r="31" spans="1:12" s="508" customFormat="1" ht="15.75">
      <c r="A31" s="513" t="str">
        <f>+[3]dic19!A39</f>
        <v>Asistente Administrativa</v>
      </c>
      <c r="B31" s="514">
        <v>1851519</v>
      </c>
      <c r="C31" s="514">
        <v>1851519</v>
      </c>
      <c r="D31" s="515">
        <f t="shared" si="4"/>
        <v>0</v>
      </c>
      <c r="E31" s="516">
        <f t="shared" si="5"/>
        <v>0</v>
      </c>
      <c r="F31" s="518"/>
      <c r="G31" s="518"/>
      <c r="H31" s="389"/>
      <c r="I31" s="593"/>
    </row>
    <row r="32" spans="1:12" s="508" customFormat="1" ht="15.75">
      <c r="A32" s="513" t="s">
        <v>83</v>
      </c>
      <c r="B32" s="514">
        <v>41918824</v>
      </c>
      <c r="C32" s="514">
        <v>41918824</v>
      </c>
      <c r="D32" s="515">
        <f t="shared" si="4"/>
        <v>0</v>
      </c>
      <c r="E32" s="516">
        <f t="shared" si="5"/>
        <v>0</v>
      </c>
      <c r="F32" s="518"/>
      <c r="G32" s="518"/>
      <c r="H32" s="389"/>
      <c r="I32" s="593"/>
    </row>
    <row r="33" spans="1:9" s="508" customFormat="1" ht="15.75">
      <c r="A33" s="513" t="s">
        <v>684</v>
      </c>
      <c r="B33" s="514">
        <f>748629+7809723</f>
        <v>8558352</v>
      </c>
      <c r="C33" s="514">
        <v>7809723</v>
      </c>
      <c r="D33" s="515">
        <f t="shared" si="4"/>
        <v>748629</v>
      </c>
      <c r="E33" s="516">
        <f t="shared" si="5"/>
        <v>9.5858585509370819E-2</v>
      </c>
      <c r="F33" s="518"/>
      <c r="G33" s="518"/>
      <c r="H33" s="389"/>
      <c r="I33" s="593"/>
    </row>
    <row r="34" spans="1:9" s="508" customFormat="1" ht="15.75">
      <c r="A34" s="513" t="s">
        <v>563</v>
      </c>
      <c r="B34" s="514">
        <v>344655</v>
      </c>
      <c r="C34" s="514">
        <v>350474</v>
      </c>
      <c r="D34" s="515"/>
      <c r="E34" s="516"/>
      <c r="F34" s="518"/>
      <c r="G34" s="518"/>
      <c r="H34" s="389"/>
      <c r="I34" s="593"/>
    </row>
    <row r="35" spans="1:9" s="508" customFormat="1" ht="15.75">
      <c r="A35" s="513" t="s">
        <v>86</v>
      </c>
      <c r="B35" s="514">
        <v>270588</v>
      </c>
      <c r="C35" s="514">
        <v>270588</v>
      </c>
      <c r="D35" s="515">
        <f t="shared" si="4"/>
        <v>0</v>
      </c>
      <c r="E35" s="516">
        <f t="shared" si="5"/>
        <v>0</v>
      </c>
      <c r="F35" s="518"/>
      <c r="G35" s="518"/>
      <c r="H35" s="389"/>
      <c r="I35" s="593"/>
    </row>
    <row r="36" spans="1:9" s="508" customFormat="1" ht="15.75">
      <c r="A36" s="513" t="s">
        <v>177</v>
      </c>
      <c r="B36" s="514">
        <v>588000</v>
      </c>
      <c r="C36" s="514">
        <v>565000</v>
      </c>
      <c r="D36" s="515"/>
      <c r="E36" s="516"/>
      <c r="F36" s="518"/>
      <c r="G36" s="518"/>
      <c r="H36" s="389"/>
      <c r="I36" s="593"/>
    </row>
    <row r="37" spans="1:9" s="508" customFormat="1" ht="15.75">
      <c r="A37" s="513" t="str">
        <f>+[3]dic19!A46</f>
        <v>Mant locativos</v>
      </c>
      <c r="B37" s="514">
        <f>5179400+595000</f>
        <v>5774400</v>
      </c>
      <c r="C37" s="514">
        <v>5905400</v>
      </c>
      <c r="D37" s="515">
        <f t="shared" si="4"/>
        <v>-131000</v>
      </c>
      <c r="E37" s="516">
        <f t="shared" si="5"/>
        <v>-2.2183086666440886E-2</v>
      </c>
      <c r="F37" s="518"/>
      <c r="G37" s="518"/>
      <c r="H37" s="389"/>
      <c r="I37" s="593"/>
    </row>
    <row r="38" spans="1:9" s="508" customFormat="1" ht="15.75">
      <c r="A38" s="513" t="s">
        <v>550</v>
      </c>
      <c r="B38" s="514">
        <f>602117+2872760+14569214</f>
        <v>18044091</v>
      </c>
      <c r="C38" s="514">
        <f>148850+13383099+1579593</f>
        <v>15111542</v>
      </c>
      <c r="D38" s="515">
        <f t="shared" si="4"/>
        <v>2932549</v>
      </c>
      <c r="E38" s="516">
        <f t="shared" si="5"/>
        <v>0.1940602090772735</v>
      </c>
      <c r="F38" s="518"/>
      <c r="G38" s="518"/>
      <c r="H38" s="389"/>
      <c r="I38" s="593"/>
    </row>
    <row r="39" spans="1:9" s="508" customFormat="1" ht="16.5" customHeight="1">
      <c r="A39" s="513" t="s">
        <v>82</v>
      </c>
      <c r="B39" s="514">
        <v>197189</v>
      </c>
      <c r="C39" s="514">
        <v>280338</v>
      </c>
      <c r="D39" s="515">
        <f t="shared" si="4"/>
        <v>-83149</v>
      </c>
      <c r="E39" s="516">
        <f t="shared" si="5"/>
        <v>-0.29660267248821065</v>
      </c>
      <c r="F39" s="518"/>
      <c r="G39" s="518"/>
      <c r="H39" s="389"/>
      <c r="I39" s="593"/>
    </row>
    <row r="40" spans="1:9" s="508" customFormat="1" ht="21.75" customHeight="1">
      <c r="A40" s="530" t="s">
        <v>88</v>
      </c>
      <c r="B40" s="525">
        <f>+B41</f>
        <v>6668420</v>
      </c>
      <c r="C40" s="525">
        <f>+C41</f>
        <v>6146780</v>
      </c>
      <c r="D40" s="525">
        <f>+B40-C40</f>
        <v>521640</v>
      </c>
      <c r="E40" s="512">
        <f>+B40/C40-1</f>
        <v>8.486394502487471E-2</v>
      </c>
      <c r="F40" s="525"/>
      <c r="G40" s="525"/>
      <c r="H40" s="389"/>
      <c r="I40" s="593"/>
    </row>
    <row r="41" spans="1:9" s="508" customFormat="1" ht="15.75">
      <c r="A41" s="513" t="s">
        <v>62</v>
      </c>
      <c r="B41" s="514">
        <v>6668420</v>
      </c>
      <c r="C41" s="514">
        <v>6146780</v>
      </c>
      <c r="D41" s="515">
        <f>+B41-C41</f>
        <v>521640</v>
      </c>
      <c r="E41" s="516">
        <f>IF(C41=0,0,D41/C41)</f>
        <v>8.4863945024874807E-2</v>
      </c>
      <c r="F41" s="518"/>
      <c r="G41" s="518"/>
      <c r="H41" s="389"/>
      <c r="I41" s="593"/>
    </row>
    <row r="42" spans="1:9" s="508" customFormat="1" ht="24" customHeight="1">
      <c r="A42" s="530" t="s">
        <v>552</v>
      </c>
      <c r="B42" s="525">
        <f>SUM(B43:B43)</f>
        <v>155736</v>
      </c>
      <c r="C42" s="525">
        <f>SUM(C43:C43)</f>
        <v>107541</v>
      </c>
      <c r="D42" s="525">
        <f>SUM(D43:D43)</f>
        <v>48195</v>
      </c>
      <c r="E42" s="512">
        <f>+B42/C42-1</f>
        <v>0.44815465729349735</v>
      </c>
      <c r="F42" s="525" t="e">
        <f>SUM(#REF!)</f>
        <v>#REF!</v>
      </c>
      <c r="G42" s="525" t="e">
        <f>SUM(#REF!)</f>
        <v>#REF!</v>
      </c>
      <c r="H42" s="389"/>
      <c r="I42" s="593"/>
    </row>
    <row r="43" spans="1:9" s="508" customFormat="1" ht="15.75">
      <c r="A43" s="513" t="s">
        <v>553</v>
      </c>
      <c r="B43" s="514">
        <v>155736</v>
      </c>
      <c r="C43" s="514">
        <v>107541</v>
      </c>
      <c r="D43" s="515">
        <f>+B43-C43</f>
        <v>48195</v>
      </c>
      <c r="E43" s="516">
        <f>IF(C43=0,0,D43/C43)</f>
        <v>0.44815465729349735</v>
      </c>
      <c r="F43" s="518"/>
      <c r="G43" s="518"/>
      <c r="H43" s="389"/>
      <c r="I43" s="593"/>
    </row>
    <row r="44" spans="1:9" s="508" customFormat="1" ht="22.5" customHeight="1">
      <c r="A44" s="510" t="s">
        <v>7</v>
      </c>
      <c r="B44" s="536">
        <f>+B27+B40+B42</f>
        <v>91476774</v>
      </c>
      <c r="C44" s="536">
        <f>+C27+C40+C42</f>
        <v>87775010</v>
      </c>
      <c r="D44" s="536">
        <f>+D27+D40+D42</f>
        <v>3701764</v>
      </c>
      <c r="E44" s="512">
        <f>+D44/C44</f>
        <v>4.2173324731036771E-2</v>
      </c>
      <c r="F44" s="536" t="e">
        <f>+F27+#REF!+F40+F42</f>
        <v>#REF!</v>
      </c>
      <c r="G44" s="536" t="e">
        <f>+G27+#REF!+G40+G42</f>
        <v>#REF!</v>
      </c>
      <c r="H44" s="389"/>
      <c r="I44" s="593"/>
    </row>
    <row r="45" spans="1:9" s="508" customFormat="1" ht="15.75">
      <c r="A45" s="513"/>
      <c r="B45" s="518"/>
      <c r="C45" s="518"/>
      <c r="D45" s="524"/>
      <c r="E45" s="519"/>
      <c r="F45" s="518"/>
      <c r="G45" s="518"/>
      <c r="H45" s="389"/>
      <c r="I45" s="593"/>
    </row>
    <row r="46" spans="1:9" s="508" customFormat="1" ht="27" customHeight="1">
      <c r="A46" s="509" t="s">
        <v>8</v>
      </c>
      <c r="B46" s="536">
        <f>SUM(B47:B53)</f>
        <v>173930015</v>
      </c>
      <c r="C46" s="536">
        <f>SUM(C47:C53)</f>
        <v>155144708.84999999</v>
      </c>
      <c r="D46" s="536">
        <f>SUM(D47:D53)</f>
        <v>18785306.149999999</v>
      </c>
      <c r="E46" s="512">
        <f>+B46/C46-1</f>
        <v>0.12108248028079638</v>
      </c>
      <c r="F46" s="536">
        <f>SUM(F47:F52)</f>
        <v>0</v>
      </c>
      <c r="G46" s="536">
        <f>SUM(G47:G52)</f>
        <v>0</v>
      </c>
      <c r="H46" s="389"/>
      <c r="I46" s="593"/>
    </row>
    <row r="47" spans="1:9" s="508" customFormat="1" ht="15.75">
      <c r="A47" s="513" t="s">
        <v>554</v>
      </c>
      <c r="B47" s="514">
        <v>19498869</v>
      </c>
      <c r="C47" s="514">
        <v>18686641</v>
      </c>
      <c r="D47" s="515">
        <f t="shared" ref="D47:D53" si="6">+B47-C47</f>
        <v>812228</v>
      </c>
      <c r="E47" s="516">
        <f t="shared" ref="E47:E53" si="7">IF(C47=0,0,D47/C47)</f>
        <v>4.3465703654284364E-2</v>
      </c>
      <c r="F47" s="518"/>
      <c r="G47" s="518"/>
      <c r="H47" s="389"/>
      <c r="I47" s="593"/>
    </row>
    <row r="48" spans="1:9" s="508" customFormat="1" ht="15.75">
      <c r="A48" s="513" t="str">
        <f>+[3]dic19!A54</f>
        <v>Fondo para Mant Sótanos</v>
      </c>
      <c r="B48" s="514">
        <v>6000022</v>
      </c>
      <c r="C48" s="514">
        <v>9300022</v>
      </c>
      <c r="D48" s="515">
        <f t="shared" si="6"/>
        <v>-3300000</v>
      </c>
      <c r="E48" s="516">
        <f t="shared" si="7"/>
        <v>-0.35483787027600577</v>
      </c>
      <c r="F48" s="518"/>
      <c r="G48" s="518"/>
      <c r="H48" s="601">
        <f>SUM(C48:C51)</f>
        <v>74464846.849999994</v>
      </c>
      <c r="I48" s="593"/>
    </row>
    <row r="49" spans="1:9" s="508" customFormat="1" ht="15.75">
      <c r="A49" s="513" t="s">
        <v>555</v>
      </c>
      <c r="B49" s="514">
        <v>28041058</v>
      </c>
      <c r="C49" s="514">
        <v>15016836.85</v>
      </c>
      <c r="D49" s="515">
        <f t="shared" si="6"/>
        <v>13024221.15</v>
      </c>
      <c r="E49" s="516">
        <f t="shared" si="7"/>
        <v>0.86730789447179757</v>
      </c>
      <c r="F49" s="518"/>
      <c r="G49" s="518"/>
      <c r="H49" s="389"/>
      <c r="I49" s="593"/>
    </row>
    <row r="50" spans="1:9" s="508" customFormat="1" ht="15.75">
      <c r="A50" s="513" t="str">
        <f>+[3]dic19!A56</f>
        <v>Fondo para Remodelacion Recepcion</v>
      </c>
      <c r="B50" s="514">
        <v>18735623</v>
      </c>
      <c r="C50" s="514">
        <v>18735623</v>
      </c>
      <c r="D50" s="515">
        <f t="shared" si="6"/>
        <v>0</v>
      </c>
      <c r="E50" s="516">
        <f t="shared" si="7"/>
        <v>0</v>
      </c>
      <c r="F50" s="518"/>
      <c r="G50" s="518"/>
      <c r="H50" s="389"/>
      <c r="I50" s="593"/>
    </row>
    <row r="51" spans="1:9" s="508" customFormat="1" ht="15.75">
      <c r="A51" s="513" t="str">
        <f>+[3]dic19!A57</f>
        <v>Fondos con Destinacion Específica</v>
      </c>
      <c r="B51" s="514">
        <v>31412365</v>
      </c>
      <c r="C51" s="514">
        <v>31412365</v>
      </c>
      <c r="D51" s="515">
        <f t="shared" si="6"/>
        <v>0</v>
      </c>
      <c r="E51" s="516">
        <f t="shared" si="7"/>
        <v>0</v>
      </c>
      <c r="F51" s="518"/>
      <c r="G51" s="518"/>
      <c r="H51" s="389"/>
      <c r="I51" s="593"/>
    </row>
    <row r="52" spans="1:9" s="508" customFormat="1" ht="15.75">
      <c r="A52" s="513" t="s">
        <v>556</v>
      </c>
      <c r="B52" s="514">
        <v>23779607</v>
      </c>
      <c r="C52" s="514">
        <v>15530750</v>
      </c>
      <c r="D52" s="515">
        <f t="shared" si="6"/>
        <v>8248857</v>
      </c>
      <c r="E52" s="516">
        <f t="shared" si="7"/>
        <v>0.53113062794778099</v>
      </c>
      <c r="F52" s="518"/>
      <c r="G52" s="518"/>
      <c r="H52" s="389"/>
      <c r="I52" s="593"/>
    </row>
    <row r="53" spans="1:9" s="508" customFormat="1" ht="15.75">
      <c r="A53" s="513" t="str">
        <f>+[3]dic19!A59</f>
        <v>Resultados ejercicios anteriores</v>
      </c>
      <c r="B53" s="514">
        <v>46462471</v>
      </c>
      <c r="C53" s="514">
        <v>46462471</v>
      </c>
      <c r="D53" s="515">
        <f t="shared" si="6"/>
        <v>0</v>
      </c>
      <c r="E53" s="516">
        <f t="shared" si="7"/>
        <v>0</v>
      </c>
      <c r="F53" s="518"/>
      <c r="G53" s="518"/>
      <c r="H53" s="389"/>
      <c r="I53" s="593"/>
    </row>
    <row r="54" spans="1:9" s="508" customFormat="1" ht="36.75" customHeight="1">
      <c r="A54" s="509" t="s">
        <v>9</v>
      </c>
      <c r="B54" s="536">
        <f>+B46+B44</f>
        <v>265406789</v>
      </c>
      <c r="C54" s="536">
        <f>+C46+C44</f>
        <v>242919718.84999999</v>
      </c>
      <c r="D54" s="536">
        <f>+D46+D44</f>
        <v>22487070.149999999</v>
      </c>
      <c r="E54" s="512">
        <f>+B54/C54-1</f>
        <v>9.2569966145422233E-2</v>
      </c>
      <c r="F54" s="536" t="e">
        <f>+F46+F44</f>
        <v>#REF!</v>
      </c>
      <c r="G54" s="536" t="e">
        <f>+G46+G44</f>
        <v>#REF!</v>
      </c>
      <c r="H54" s="389"/>
      <c r="I54" s="593"/>
    </row>
    <row r="55" spans="1:9" s="508" customFormat="1" ht="15.75">
      <c r="A55" s="513"/>
      <c r="B55" s="538">
        <f>+B24-B54</f>
        <v>-9.0000152587890625E-2</v>
      </c>
      <c r="C55" s="538">
        <f>+C24-C54</f>
        <v>-1.0000079870223999E-2</v>
      </c>
      <c r="D55" s="538"/>
      <c r="F55" s="538"/>
      <c r="G55" s="538"/>
      <c r="H55" s="389"/>
      <c r="I55" s="593"/>
    </row>
    <row r="56" spans="1:9" s="508" customFormat="1" ht="4.5" customHeight="1">
      <c r="B56" s="539"/>
      <c r="C56" s="539"/>
      <c r="D56" s="540"/>
      <c r="F56" s="540"/>
      <c r="G56" s="540"/>
      <c r="H56" s="389"/>
      <c r="I56" s="593"/>
    </row>
    <row r="57" spans="1:9" s="508" customFormat="1" ht="15.75" hidden="1">
      <c r="B57" s="539"/>
      <c r="C57" s="539"/>
      <c r="H57" s="389"/>
      <c r="I57" s="593"/>
    </row>
    <row r="58" spans="1:9" s="508" customFormat="1" ht="15.75" hidden="1">
      <c r="A58" s="500"/>
      <c r="B58" s="500"/>
      <c r="C58" s="500"/>
      <c r="D58" s="500"/>
      <c r="H58" s="389"/>
      <c r="I58" s="593"/>
    </row>
    <row r="59" spans="1:9" s="508" customFormat="1" ht="15.75">
      <c r="A59" s="500"/>
      <c r="B59" s="500"/>
      <c r="C59" s="500"/>
      <c r="D59" s="500"/>
      <c r="H59" s="389"/>
      <c r="I59" s="593"/>
    </row>
    <row r="60" spans="1:9" s="508" customFormat="1" ht="15.75">
      <c r="B60" s="539"/>
      <c r="C60" s="539"/>
      <c r="H60" s="389"/>
      <c r="I60" s="593"/>
    </row>
    <row r="61" spans="1:9" s="508" customFormat="1" ht="15.75">
      <c r="A61" s="508" t="s">
        <v>367</v>
      </c>
      <c r="B61" s="508" t="s">
        <v>557</v>
      </c>
      <c r="D61" s="74" t="s">
        <v>157</v>
      </c>
      <c r="H61" s="389"/>
      <c r="I61" s="593"/>
    </row>
    <row r="62" spans="1:9" s="508" customFormat="1" ht="15.75">
      <c r="A62" s="508" t="s">
        <v>559</v>
      </c>
      <c r="B62" s="508" t="s">
        <v>95</v>
      </c>
      <c r="D62" s="74" t="s">
        <v>96</v>
      </c>
      <c r="H62" s="389"/>
      <c r="I62" s="593"/>
    </row>
    <row r="63" spans="1:9" s="508" customFormat="1" ht="15.75">
      <c r="A63" s="508" t="s">
        <v>560</v>
      </c>
      <c r="B63" s="508" t="s">
        <v>561</v>
      </c>
      <c r="D63" s="508" t="s">
        <v>685</v>
      </c>
      <c r="F63" s="535"/>
      <c r="G63" s="535"/>
      <c r="H63" s="389"/>
      <c r="I63" s="593"/>
    </row>
    <row r="64" spans="1:9" ht="15.75">
      <c r="H64" s="389"/>
      <c r="I64" s="593"/>
    </row>
    <row r="65" spans="2:9" ht="15.75">
      <c r="H65" s="389"/>
      <c r="I65" s="593"/>
    </row>
    <row r="66" spans="2:9" ht="15.75">
      <c r="H66" s="389"/>
      <c r="I66" s="593"/>
    </row>
    <row r="67" spans="2:9" ht="15.75">
      <c r="H67" s="389"/>
      <c r="I67" s="593"/>
    </row>
    <row r="68" spans="2:9" ht="15.75">
      <c r="H68" s="389"/>
      <c r="I68" s="593"/>
    </row>
    <row r="69" spans="2:9" ht="15.75">
      <c r="H69" s="389"/>
      <c r="I69" s="593"/>
    </row>
    <row r="70" spans="2:9" ht="15.75">
      <c r="H70" s="389"/>
      <c r="I70" s="593"/>
    </row>
    <row r="71" spans="2:9" ht="15.75">
      <c r="H71" s="389"/>
      <c r="I71" s="593"/>
    </row>
    <row r="72" spans="2:9" ht="15.75">
      <c r="H72" s="389"/>
      <c r="I72" s="593"/>
    </row>
    <row r="73" spans="2:9" ht="15.75">
      <c r="H73" s="389"/>
      <c r="I73" s="593"/>
    </row>
    <row r="74" spans="2:9" ht="15.75">
      <c r="H74" s="389"/>
      <c r="I74" s="593"/>
    </row>
    <row r="75" spans="2:9" ht="15.75">
      <c r="B75" s="541"/>
      <c r="C75" s="541"/>
      <c r="H75" s="389"/>
      <c r="I75" s="593"/>
    </row>
    <row r="76" spans="2:9" ht="15.75">
      <c r="B76" s="542"/>
      <c r="C76" s="542"/>
      <c r="H76" s="389"/>
      <c r="I76" s="593"/>
    </row>
    <row r="81" spans="8:8">
      <c r="H81" s="514"/>
    </row>
    <row r="82" spans="8:8">
      <c r="H82" s="514"/>
    </row>
    <row r="83" spans="8:8">
      <c r="H83" s="514"/>
    </row>
    <row r="84" spans="8:8">
      <c r="H84" s="514"/>
    </row>
    <row r="85" spans="8:8">
      <c r="H85" s="514"/>
    </row>
    <row r="86" spans="8:8">
      <c r="H86" s="514"/>
    </row>
    <row r="87" spans="8:8">
      <c r="H87" s="514"/>
    </row>
    <row r="88" spans="8:8">
      <c r="H88" s="514"/>
    </row>
    <row r="89" spans="8:8">
      <c r="H89" s="514"/>
    </row>
    <row r="90" spans="8:8">
      <c r="H90" s="514"/>
    </row>
  </sheetData>
  <mergeCells count="2">
    <mergeCell ref="A3:E3"/>
    <mergeCell ref="A4:E4"/>
  </mergeCells>
  <printOptions horizontalCentered="1" verticalCentered="1"/>
  <pageMargins left="0.70866141732283472" right="0.70866141732283472" top="0.74803149606299213" bottom="0.74803149606299213" header="0.31496062992125984" footer="0.31496062992125984"/>
  <pageSetup scale="73" orientation="portrait" horizontalDpi="4294967294" verticalDpi="144"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9"/>
  <sheetViews>
    <sheetView workbookViewId="0">
      <pane xSplit="2" ySplit="6" topLeftCell="C39" activePane="bottomRight" state="frozen"/>
      <selection pane="topRight" activeCell="D1" sqref="D1"/>
      <selection pane="bottomLeft" activeCell="A7" sqref="A7"/>
      <selection pane="bottomRight" activeCell="H51" sqref="H51"/>
    </sheetView>
  </sheetViews>
  <sheetFormatPr baseColWidth="10" defaultRowHeight="12.75"/>
  <cols>
    <col min="1" max="1" width="37" style="500" customWidth="1"/>
    <col min="2" max="3" width="17.140625" style="500" customWidth="1"/>
    <col min="4" max="4" width="17.85546875" style="500" customWidth="1"/>
    <col min="5" max="5" width="7.42578125" style="500" customWidth="1"/>
    <col min="6" max="7" width="0" style="500" hidden="1" customWidth="1"/>
    <col min="8" max="8" width="48.85546875" style="500" customWidth="1"/>
    <col min="9" max="9" width="31.28515625" style="500" hidden="1" customWidth="1"/>
    <col min="10" max="10" width="12.28515625" style="500" hidden="1" customWidth="1"/>
    <col min="11" max="11" width="13.140625" style="500" hidden="1" customWidth="1"/>
    <col min="12" max="13" width="11.42578125" style="500" hidden="1" customWidth="1"/>
    <col min="14" max="27" width="49" style="500" customWidth="1"/>
    <col min="28" max="255" width="11.42578125" style="500"/>
    <col min="256" max="256" width="37" style="500" customWidth="1"/>
    <col min="257" max="257" width="7.28515625" style="500" bestFit="1" customWidth="1"/>
    <col min="258" max="259" width="17.140625" style="500" customWidth="1"/>
    <col min="260" max="260" width="17.85546875" style="500" customWidth="1"/>
    <col min="261" max="261" width="7.42578125" style="500" customWidth="1"/>
    <col min="262" max="263" width="0" style="500" hidden="1" customWidth="1"/>
    <col min="264" max="264" width="49" style="500" customWidth="1"/>
    <col min="265" max="265" width="31.28515625" style="500" customWidth="1"/>
    <col min="266" max="266" width="12.28515625" style="500" bestFit="1" customWidth="1"/>
    <col min="267" max="511" width="11.42578125" style="500"/>
    <col min="512" max="512" width="37" style="500" customWidth="1"/>
    <col min="513" max="513" width="7.28515625" style="500" bestFit="1" customWidth="1"/>
    <col min="514" max="515" width="17.140625" style="500" customWidth="1"/>
    <col min="516" max="516" width="17.85546875" style="500" customWidth="1"/>
    <col min="517" max="517" width="7.42578125" style="500" customWidth="1"/>
    <col min="518" max="519" width="0" style="500" hidden="1" customWidth="1"/>
    <col min="520" max="520" width="49" style="500" customWidth="1"/>
    <col min="521" max="521" width="31.28515625" style="500" customWidth="1"/>
    <col min="522" max="522" width="12.28515625" style="500" bestFit="1" customWidth="1"/>
    <col min="523" max="767" width="11.42578125" style="500"/>
    <col min="768" max="768" width="37" style="500" customWidth="1"/>
    <col min="769" max="769" width="7.28515625" style="500" bestFit="1" customWidth="1"/>
    <col min="770" max="771" width="17.140625" style="500" customWidth="1"/>
    <col min="772" max="772" width="17.85546875" style="500" customWidth="1"/>
    <col min="773" max="773" width="7.42578125" style="500" customWidth="1"/>
    <col min="774" max="775" width="0" style="500" hidden="1" customWidth="1"/>
    <col min="776" max="776" width="49" style="500" customWidth="1"/>
    <col min="777" max="777" width="31.28515625" style="500" customWidth="1"/>
    <col min="778" max="778" width="12.28515625" style="500" bestFit="1" customWidth="1"/>
    <col min="779" max="1023" width="11.42578125" style="500"/>
    <col min="1024" max="1024" width="37" style="500" customWidth="1"/>
    <col min="1025" max="1025" width="7.28515625" style="500" bestFit="1" customWidth="1"/>
    <col min="1026" max="1027" width="17.140625" style="500" customWidth="1"/>
    <col min="1028" max="1028" width="17.85546875" style="500" customWidth="1"/>
    <col min="1029" max="1029" width="7.42578125" style="500" customWidth="1"/>
    <col min="1030" max="1031" width="0" style="500" hidden="1" customWidth="1"/>
    <col min="1032" max="1032" width="49" style="500" customWidth="1"/>
    <col min="1033" max="1033" width="31.28515625" style="500" customWidth="1"/>
    <col min="1034" max="1034" width="12.28515625" style="500" bestFit="1" customWidth="1"/>
    <col min="1035" max="1279" width="11.42578125" style="500"/>
    <col min="1280" max="1280" width="37" style="500" customWidth="1"/>
    <col min="1281" max="1281" width="7.28515625" style="500" bestFit="1" customWidth="1"/>
    <col min="1282" max="1283" width="17.140625" style="500" customWidth="1"/>
    <col min="1284" max="1284" width="17.85546875" style="500" customWidth="1"/>
    <col min="1285" max="1285" width="7.42578125" style="500" customWidth="1"/>
    <col min="1286" max="1287" width="0" style="500" hidden="1" customWidth="1"/>
    <col min="1288" max="1288" width="49" style="500" customWidth="1"/>
    <col min="1289" max="1289" width="31.28515625" style="500" customWidth="1"/>
    <col min="1290" max="1290" width="12.28515625" style="500" bestFit="1" customWidth="1"/>
    <col min="1291" max="1535" width="11.42578125" style="500"/>
    <col min="1536" max="1536" width="37" style="500" customWidth="1"/>
    <col min="1537" max="1537" width="7.28515625" style="500" bestFit="1" customWidth="1"/>
    <col min="1538" max="1539" width="17.140625" style="500" customWidth="1"/>
    <col min="1540" max="1540" width="17.85546875" style="500" customWidth="1"/>
    <col min="1541" max="1541" width="7.42578125" style="500" customWidth="1"/>
    <col min="1542" max="1543" width="0" style="500" hidden="1" customWidth="1"/>
    <col min="1544" max="1544" width="49" style="500" customWidth="1"/>
    <col min="1545" max="1545" width="31.28515625" style="500" customWidth="1"/>
    <col min="1546" max="1546" width="12.28515625" style="500" bestFit="1" customWidth="1"/>
    <col min="1547" max="1791" width="11.42578125" style="500"/>
    <col min="1792" max="1792" width="37" style="500" customWidth="1"/>
    <col min="1793" max="1793" width="7.28515625" style="500" bestFit="1" customWidth="1"/>
    <col min="1794" max="1795" width="17.140625" style="500" customWidth="1"/>
    <col min="1796" max="1796" width="17.85546875" style="500" customWidth="1"/>
    <col min="1797" max="1797" width="7.42578125" style="500" customWidth="1"/>
    <col min="1798" max="1799" width="0" style="500" hidden="1" customWidth="1"/>
    <col min="1800" max="1800" width="49" style="500" customWidth="1"/>
    <col min="1801" max="1801" width="31.28515625" style="500" customWidth="1"/>
    <col min="1802" max="1802" width="12.28515625" style="500" bestFit="1" customWidth="1"/>
    <col min="1803" max="2047" width="11.42578125" style="500"/>
    <col min="2048" max="2048" width="37" style="500" customWidth="1"/>
    <col min="2049" max="2049" width="7.28515625" style="500" bestFit="1" customWidth="1"/>
    <col min="2050" max="2051" width="17.140625" style="500" customWidth="1"/>
    <col min="2052" max="2052" width="17.85546875" style="500" customWidth="1"/>
    <col min="2053" max="2053" width="7.42578125" style="500" customWidth="1"/>
    <col min="2054" max="2055" width="0" style="500" hidden="1" customWidth="1"/>
    <col min="2056" max="2056" width="49" style="500" customWidth="1"/>
    <col min="2057" max="2057" width="31.28515625" style="500" customWidth="1"/>
    <col min="2058" max="2058" width="12.28515625" style="500" bestFit="1" customWidth="1"/>
    <col min="2059" max="2303" width="11.42578125" style="500"/>
    <col min="2304" max="2304" width="37" style="500" customWidth="1"/>
    <col min="2305" max="2305" width="7.28515625" style="500" bestFit="1" customWidth="1"/>
    <col min="2306" max="2307" width="17.140625" style="500" customWidth="1"/>
    <col min="2308" max="2308" width="17.85546875" style="500" customWidth="1"/>
    <col min="2309" max="2309" width="7.42578125" style="500" customWidth="1"/>
    <col min="2310" max="2311" width="0" style="500" hidden="1" customWidth="1"/>
    <col min="2312" max="2312" width="49" style="500" customWidth="1"/>
    <col min="2313" max="2313" width="31.28515625" style="500" customWidth="1"/>
    <col min="2314" max="2314" width="12.28515625" style="500" bestFit="1" customWidth="1"/>
    <col min="2315" max="2559" width="11.42578125" style="500"/>
    <col min="2560" max="2560" width="37" style="500" customWidth="1"/>
    <col min="2561" max="2561" width="7.28515625" style="500" bestFit="1" customWidth="1"/>
    <col min="2562" max="2563" width="17.140625" style="500" customWidth="1"/>
    <col min="2564" max="2564" width="17.85546875" style="500" customWidth="1"/>
    <col min="2565" max="2565" width="7.42578125" style="500" customWidth="1"/>
    <col min="2566" max="2567" width="0" style="500" hidden="1" customWidth="1"/>
    <col min="2568" max="2568" width="49" style="500" customWidth="1"/>
    <col min="2569" max="2569" width="31.28515625" style="500" customWidth="1"/>
    <col min="2570" max="2570" width="12.28515625" style="500" bestFit="1" customWidth="1"/>
    <col min="2571" max="2815" width="11.42578125" style="500"/>
    <col min="2816" max="2816" width="37" style="500" customWidth="1"/>
    <col min="2817" max="2817" width="7.28515625" style="500" bestFit="1" customWidth="1"/>
    <col min="2818" max="2819" width="17.140625" style="500" customWidth="1"/>
    <col min="2820" max="2820" width="17.85546875" style="500" customWidth="1"/>
    <col min="2821" max="2821" width="7.42578125" style="500" customWidth="1"/>
    <col min="2822" max="2823" width="0" style="500" hidden="1" customWidth="1"/>
    <col min="2824" max="2824" width="49" style="500" customWidth="1"/>
    <col min="2825" max="2825" width="31.28515625" style="500" customWidth="1"/>
    <col min="2826" max="2826" width="12.28515625" style="500" bestFit="1" customWidth="1"/>
    <col min="2827" max="3071" width="11.42578125" style="500"/>
    <col min="3072" max="3072" width="37" style="500" customWidth="1"/>
    <col min="3073" max="3073" width="7.28515625" style="500" bestFit="1" customWidth="1"/>
    <col min="3074" max="3075" width="17.140625" style="500" customWidth="1"/>
    <col min="3076" max="3076" width="17.85546875" style="500" customWidth="1"/>
    <col min="3077" max="3077" width="7.42578125" style="500" customWidth="1"/>
    <col min="3078" max="3079" width="0" style="500" hidden="1" customWidth="1"/>
    <col min="3080" max="3080" width="49" style="500" customWidth="1"/>
    <col min="3081" max="3081" width="31.28515625" style="500" customWidth="1"/>
    <col min="3082" max="3082" width="12.28515625" style="500" bestFit="1" customWidth="1"/>
    <col min="3083" max="3327" width="11.42578125" style="500"/>
    <col min="3328" max="3328" width="37" style="500" customWidth="1"/>
    <col min="3329" max="3329" width="7.28515625" style="500" bestFit="1" customWidth="1"/>
    <col min="3330" max="3331" width="17.140625" style="500" customWidth="1"/>
    <col min="3332" max="3332" width="17.85546875" style="500" customWidth="1"/>
    <col min="3333" max="3333" width="7.42578125" style="500" customWidth="1"/>
    <col min="3334" max="3335" width="0" style="500" hidden="1" customWidth="1"/>
    <col min="3336" max="3336" width="49" style="500" customWidth="1"/>
    <col min="3337" max="3337" width="31.28515625" style="500" customWidth="1"/>
    <col min="3338" max="3338" width="12.28515625" style="500" bestFit="1" customWidth="1"/>
    <col min="3339" max="3583" width="11.42578125" style="500"/>
    <col min="3584" max="3584" width="37" style="500" customWidth="1"/>
    <col min="3585" max="3585" width="7.28515625" style="500" bestFit="1" customWidth="1"/>
    <col min="3586" max="3587" width="17.140625" style="500" customWidth="1"/>
    <col min="3588" max="3588" width="17.85546875" style="500" customWidth="1"/>
    <col min="3589" max="3589" width="7.42578125" style="500" customWidth="1"/>
    <col min="3590" max="3591" width="0" style="500" hidden="1" customWidth="1"/>
    <col min="3592" max="3592" width="49" style="500" customWidth="1"/>
    <col min="3593" max="3593" width="31.28515625" style="500" customWidth="1"/>
    <col min="3594" max="3594" width="12.28515625" style="500" bestFit="1" customWidth="1"/>
    <col min="3595" max="3839" width="11.42578125" style="500"/>
    <col min="3840" max="3840" width="37" style="500" customWidth="1"/>
    <col min="3841" max="3841" width="7.28515625" style="500" bestFit="1" customWidth="1"/>
    <col min="3842" max="3843" width="17.140625" style="500" customWidth="1"/>
    <col min="3844" max="3844" width="17.85546875" style="500" customWidth="1"/>
    <col min="3845" max="3845" width="7.42578125" style="500" customWidth="1"/>
    <col min="3846" max="3847" width="0" style="500" hidden="1" customWidth="1"/>
    <col min="3848" max="3848" width="49" style="500" customWidth="1"/>
    <col min="3849" max="3849" width="31.28515625" style="500" customWidth="1"/>
    <col min="3850" max="3850" width="12.28515625" style="500" bestFit="1" customWidth="1"/>
    <col min="3851" max="4095" width="11.42578125" style="500"/>
    <col min="4096" max="4096" width="37" style="500" customWidth="1"/>
    <col min="4097" max="4097" width="7.28515625" style="500" bestFit="1" customWidth="1"/>
    <col min="4098" max="4099" width="17.140625" style="500" customWidth="1"/>
    <col min="4100" max="4100" width="17.85546875" style="500" customWidth="1"/>
    <col min="4101" max="4101" width="7.42578125" style="500" customWidth="1"/>
    <col min="4102" max="4103" width="0" style="500" hidden="1" customWidth="1"/>
    <col min="4104" max="4104" width="49" style="500" customWidth="1"/>
    <col min="4105" max="4105" width="31.28515625" style="500" customWidth="1"/>
    <col min="4106" max="4106" width="12.28515625" style="500" bestFit="1" customWidth="1"/>
    <col min="4107" max="4351" width="11.42578125" style="500"/>
    <col min="4352" max="4352" width="37" style="500" customWidth="1"/>
    <col min="4353" max="4353" width="7.28515625" style="500" bestFit="1" customWidth="1"/>
    <col min="4354" max="4355" width="17.140625" style="500" customWidth="1"/>
    <col min="4356" max="4356" width="17.85546875" style="500" customWidth="1"/>
    <col min="4357" max="4357" width="7.42578125" style="500" customWidth="1"/>
    <col min="4358" max="4359" width="0" style="500" hidden="1" customWidth="1"/>
    <col min="4360" max="4360" width="49" style="500" customWidth="1"/>
    <col min="4361" max="4361" width="31.28515625" style="500" customWidth="1"/>
    <col min="4362" max="4362" width="12.28515625" style="500" bestFit="1" customWidth="1"/>
    <col min="4363" max="4607" width="11.42578125" style="500"/>
    <col min="4608" max="4608" width="37" style="500" customWidth="1"/>
    <col min="4609" max="4609" width="7.28515625" style="500" bestFit="1" customWidth="1"/>
    <col min="4610" max="4611" width="17.140625" style="500" customWidth="1"/>
    <col min="4612" max="4612" width="17.85546875" style="500" customWidth="1"/>
    <col min="4613" max="4613" width="7.42578125" style="500" customWidth="1"/>
    <col min="4614" max="4615" width="0" style="500" hidden="1" customWidth="1"/>
    <col min="4616" max="4616" width="49" style="500" customWidth="1"/>
    <col min="4617" max="4617" width="31.28515625" style="500" customWidth="1"/>
    <col min="4618" max="4618" width="12.28515625" style="500" bestFit="1" customWidth="1"/>
    <col min="4619" max="4863" width="11.42578125" style="500"/>
    <col min="4864" max="4864" width="37" style="500" customWidth="1"/>
    <col min="4865" max="4865" width="7.28515625" style="500" bestFit="1" customWidth="1"/>
    <col min="4866" max="4867" width="17.140625" style="500" customWidth="1"/>
    <col min="4868" max="4868" width="17.85546875" style="500" customWidth="1"/>
    <col min="4869" max="4869" width="7.42578125" style="500" customWidth="1"/>
    <col min="4870" max="4871" width="0" style="500" hidden="1" customWidth="1"/>
    <col min="4872" max="4872" width="49" style="500" customWidth="1"/>
    <col min="4873" max="4873" width="31.28515625" style="500" customWidth="1"/>
    <col min="4874" max="4874" width="12.28515625" style="500" bestFit="1" customWidth="1"/>
    <col min="4875" max="5119" width="11.42578125" style="500"/>
    <col min="5120" max="5120" width="37" style="500" customWidth="1"/>
    <col min="5121" max="5121" width="7.28515625" style="500" bestFit="1" customWidth="1"/>
    <col min="5122" max="5123" width="17.140625" style="500" customWidth="1"/>
    <col min="5124" max="5124" width="17.85546875" style="500" customWidth="1"/>
    <col min="5125" max="5125" width="7.42578125" style="500" customWidth="1"/>
    <col min="5126" max="5127" width="0" style="500" hidden="1" customWidth="1"/>
    <col min="5128" max="5128" width="49" style="500" customWidth="1"/>
    <col min="5129" max="5129" width="31.28515625" style="500" customWidth="1"/>
    <col min="5130" max="5130" width="12.28515625" style="500" bestFit="1" customWidth="1"/>
    <col min="5131" max="5375" width="11.42578125" style="500"/>
    <col min="5376" max="5376" width="37" style="500" customWidth="1"/>
    <col min="5377" max="5377" width="7.28515625" style="500" bestFit="1" customWidth="1"/>
    <col min="5378" max="5379" width="17.140625" style="500" customWidth="1"/>
    <col min="5380" max="5380" width="17.85546875" style="500" customWidth="1"/>
    <col min="5381" max="5381" width="7.42578125" style="500" customWidth="1"/>
    <col min="5382" max="5383" width="0" style="500" hidden="1" customWidth="1"/>
    <col min="5384" max="5384" width="49" style="500" customWidth="1"/>
    <col min="5385" max="5385" width="31.28515625" style="500" customWidth="1"/>
    <col min="5386" max="5386" width="12.28515625" style="500" bestFit="1" customWidth="1"/>
    <col min="5387" max="5631" width="11.42578125" style="500"/>
    <col min="5632" max="5632" width="37" style="500" customWidth="1"/>
    <col min="5633" max="5633" width="7.28515625" style="500" bestFit="1" customWidth="1"/>
    <col min="5634" max="5635" width="17.140625" style="500" customWidth="1"/>
    <col min="5636" max="5636" width="17.85546875" style="500" customWidth="1"/>
    <col min="5637" max="5637" width="7.42578125" style="500" customWidth="1"/>
    <col min="5638" max="5639" width="0" style="500" hidden="1" customWidth="1"/>
    <col min="5640" max="5640" width="49" style="500" customWidth="1"/>
    <col min="5641" max="5641" width="31.28515625" style="500" customWidth="1"/>
    <col min="5642" max="5642" width="12.28515625" style="500" bestFit="1" customWidth="1"/>
    <col min="5643" max="5887" width="11.42578125" style="500"/>
    <col min="5888" max="5888" width="37" style="500" customWidth="1"/>
    <col min="5889" max="5889" width="7.28515625" style="500" bestFit="1" customWidth="1"/>
    <col min="5890" max="5891" width="17.140625" style="500" customWidth="1"/>
    <col min="5892" max="5892" width="17.85546875" style="500" customWidth="1"/>
    <col min="5893" max="5893" width="7.42578125" style="500" customWidth="1"/>
    <col min="5894" max="5895" width="0" style="500" hidden="1" customWidth="1"/>
    <col min="5896" max="5896" width="49" style="500" customWidth="1"/>
    <col min="5897" max="5897" width="31.28515625" style="500" customWidth="1"/>
    <col min="5898" max="5898" width="12.28515625" style="500" bestFit="1" customWidth="1"/>
    <col min="5899" max="6143" width="11.42578125" style="500"/>
    <col min="6144" max="6144" width="37" style="500" customWidth="1"/>
    <col min="6145" max="6145" width="7.28515625" style="500" bestFit="1" customWidth="1"/>
    <col min="6146" max="6147" width="17.140625" style="500" customWidth="1"/>
    <col min="6148" max="6148" width="17.85546875" style="500" customWidth="1"/>
    <col min="6149" max="6149" width="7.42578125" style="500" customWidth="1"/>
    <col min="6150" max="6151" width="0" style="500" hidden="1" customWidth="1"/>
    <col min="6152" max="6152" width="49" style="500" customWidth="1"/>
    <col min="6153" max="6153" width="31.28515625" style="500" customWidth="1"/>
    <col min="6154" max="6154" width="12.28515625" style="500" bestFit="1" customWidth="1"/>
    <col min="6155" max="6399" width="11.42578125" style="500"/>
    <col min="6400" max="6400" width="37" style="500" customWidth="1"/>
    <col min="6401" max="6401" width="7.28515625" style="500" bestFit="1" customWidth="1"/>
    <col min="6402" max="6403" width="17.140625" style="500" customWidth="1"/>
    <col min="6404" max="6404" width="17.85546875" style="500" customWidth="1"/>
    <col min="6405" max="6405" width="7.42578125" style="500" customWidth="1"/>
    <col min="6406" max="6407" width="0" style="500" hidden="1" customWidth="1"/>
    <col min="6408" max="6408" width="49" style="500" customWidth="1"/>
    <col min="6409" max="6409" width="31.28515625" style="500" customWidth="1"/>
    <col min="6410" max="6410" width="12.28515625" style="500" bestFit="1" customWidth="1"/>
    <col min="6411" max="6655" width="11.42578125" style="500"/>
    <col min="6656" max="6656" width="37" style="500" customWidth="1"/>
    <col min="6657" max="6657" width="7.28515625" style="500" bestFit="1" customWidth="1"/>
    <col min="6658" max="6659" width="17.140625" style="500" customWidth="1"/>
    <col min="6660" max="6660" width="17.85546875" style="500" customWidth="1"/>
    <col min="6661" max="6661" width="7.42578125" style="500" customWidth="1"/>
    <col min="6662" max="6663" width="0" style="500" hidden="1" customWidth="1"/>
    <col min="6664" max="6664" width="49" style="500" customWidth="1"/>
    <col min="6665" max="6665" width="31.28515625" style="500" customWidth="1"/>
    <col min="6666" max="6666" width="12.28515625" style="500" bestFit="1" customWidth="1"/>
    <col min="6667" max="6911" width="11.42578125" style="500"/>
    <col min="6912" max="6912" width="37" style="500" customWidth="1"/>
    <col min="6913" max="6913" width="7.28515625" style="500" bestFit="1" customWidth="1"/>
    <col min="6914" max="6915" width="17.140625" style="500" customWidth="1"/>
    <col min="6916" max="6916" width="17.85546875" style="500" customWidth="1"/>
    <col min="6917" max="6917" width="7.42578125" style="500" customWidth="1"/>
    <col min="6918" max="6919" width="0" style="500" hidden="1" customWidth="1"/>
    <col min="6920" max="6920" width="49" style="500" customWidth="1"/>
    <col min="6921" max="6921" width="31.28515625" style="500" customWidth="1"/>
    <col min="6922" max="6922" width="12.28515625" style="500" bestFit="1" customWidth="1"/>
    <col min="6923" max="7167" width="11.42578125" style="500"/>
    <col min="7168" max="7168" width="37" style="500" customWidth="1"/>
    <col min="7169" max="7169" width="7.28515625" style="500" bestFit="1" customWidth="1"/>
    <col min="7170" max="7171" width="17.140625" style="500" customWidth="1"/>
    <col min="7172" max="7172" width="17.85546875" style="500" customWidth="1"/>
    <col min="7173" max="7173" width="7.42578125" style="500" customWidth="1"/>
    <col min="7174" max="7175" width="0" style="500" hidden="1" customWidth="1"/>
    <col min="7176" max="7176" width="49" style="500" customWidth="1"/>
    <col min="7177" max="7177" width="31.28515625" style="500" customWidth="1"/>
    <col min="7178" max="7178" width="12.28515625" style="500" bestFit="1" customWidth="1"/>
    <col min="7179" max="7423" width="11.42578125" style="500"/>
    <col min="7424" max="7424" width="37" style="500" customWidth="1"/>
    <col min="7425" max="7425" width="7.28515625" style="500" bestFit="1" customWidth="1"/>
    <col min="7426" max="7427" width="17.140625" style="500" customWidth="1"/>
    <col min="7428" max="7428" width="17.85546875" style="500" customWidth="1"/>
    <col min="7429" max="7429" width="7.42578125" style="500" customWidth="1"/>
    <col min="7430" max="7431" width="0" style="500" hidden="1" customWidth="1"/>
    <col min="7432" max="7432" width="49" style="500" customWidth="1"/>
    <col min="7433" max="7433" width="31.28515625" style="500" customWidth="1"/>
    <col min="7434" max="7434" width="12.28515625" style="500" bestFit="1" customWidth="1"/>
    <col min="7435" max="7679" width="11.42578125" style="500"/>
    <col min="7680" max="7680" width="37" style="500" customWidth="1"/>
    <col min="7681" max="7681" width="7.28515625" style="500" bestFit="1" customWidth="1"/>
    <col min="7682" max="7683" width="17.140625" style="500" customWidth="1"/>
    <col min="7684" max="7684" width="17.85546875" style="500" customWidth="1"/>
    <col min="7685" max="7685" width="7.42578125" style="500" customWidth="1"/>
    <col min="7686" max="7687" width="0" style="500" hidden="1" customWidth="1"/>
    <col min="7688" max="7688" width="49" style="500" customWidth="1"/>
    <col min="7689" max="7689" width="31.28515625" style="500" customWidth="1"/>
    <col min="7690" max="7690" width="12.28515625" style="500" bestFit="1" customWidth="1"/>
    <col min="7691" max="7935" width="11.42578125" style="500"/>
    <col min="7936" max="7936" width="37" style="500" customWidth="1"/>
    <col min="7937" max="7937" width="7.28515625" style="500" bestFit="1" customWidth="1"/>
    <col min="7938" max="7939" width="17.140625" style="500" customWidth="1"/>
    <col min="7940" max="7940" width="17.85546875" style="500" customWidth="1"/>
    <col min="7941" max="7941" width="7.42578125" style="500" customWidth="1"/>
    <col min="7942" max="7943" width="0" style="500" hidden="1" customWidth="1"/>
    <col min="7944" max="7944" width="49" style="500" customWidth="1"/>
    <col min="7945" max="7945" width="31.28515625" style="500" customWidth="1"/>
    <col min="7946" max="7946" width="12.28515625" style="500" bestFit="1" customWidth="1"/>
    <col min="7947" max="8191" width="11.42578125" style="500"/>
    <col min="8192" max="8192" width="37" style="500" customWidth="1"/>
    <col min="8193" max="8193" width="7.28515625" style="500" bestFit="1" customWidth="1"/>
    <col min="8194" max="8195" width="17.140625" style="500" customWidth="1"/>
    <col min="8196" max="8196" width="17.85546875" style="500" customWidth="1"/>
    <col min="8197" max="8197" width="7.42578125" style="500" customWidth="1"/>
    <col min="8198" max="8199" width="0" style="500" hidden="1" customWidth="1"/>
    <col min="8200" max="8200" width="49" style="500" customWidth="1"/>
    <col min="8201" max="8201" width="31.28515625" style="500" customWidth="1"/>
    <col min="8202" max="8202" width="12.28515625" style="500" bestFit="1" customWidth="1"/>
    <col min="8203" max="8447" width="11.42578125" style="500"/>
    <col min="8448" max="8448" width="37" style="500" customWidth="1"/>
    <col min="8449" max="8449" width="7.28515625" style="500" bestFit="1" customWidth="1"/>
    <col min="8450" max="8451" width="17.140625" style="500" customWidth="1"/>
    <col min="8452" max="8452" width="17.85546875" style="500" customWidth="1"/>
    <col min="8453" max="8453" width="7.42578125" style="500" customWidth="1"/>
    <col min="8454" max="8455" width="0" style="500" hidden="1" customWidth="1"/>
    <col min="8456" max="8456" width="49" style="500" customWidth="1"/>
    <col min="8457" max="8457" width="31.28515625" style="500" customWidth="1"/>
    <col min="8458" max="8458" width="12.28515625" style="500" bestFit="1" customWidth="1"/>
    <col min="8459" max="8703" width="11.42578125" style="500"/>
    <col min="8704" max="8704" width="37" style="500" customWidth="1"/>
    <col min="8705" max="8705" width="7.28515625" style="500" bestFit="1" customWidth="1"/>
    <col min="8706" max="8707" width="17.140625" style="500" customWidth="1"/>
    <col min="8708" max="8708" width="17.85546875" style="500" customWidth="1"/>
    <col min="8709" max="8709" width="7.42578125" style="500" customWidth="1"/>
    <col min="8710" max="8711" width="0" style="500" hidden="1" customWidth="1"/>
    <col min="8712" max="8712" width="49" style="500" customWidth="1"/>
    <col min="8713" max="8713" width="31.28515625" style="500" customWidth="1"/>
    <col min="8714" max="8714" width="12.28515625" style="500" bestFit="1" customWidth="1"/>
    <col min="8715" max="8959" width="11.42578125" style="500"/>
    <col min="8960" max="8960" width="37" style="500" customWidth="1"/>
    <col min="8961" max="8961" width="7.28515625" style="500" bestFit="1" customWidth="1"/>
    <col min="8962" max="8963" width="17.140625" style="500" customWidth="1"/>
    <col min="8964" max="8964" width="17.85546875" style="500" customWidth="1"/>
    <col min="8965" max="8965" width="7.42578125" style="500" customWidth="1"/>
    <col min="8966" max="8967" width="0" style="500" hidden="1" customWidth="1"/>
    <col min="8968" max="8968" width="49" style="500" customWidth="1"/>
    <col min="8969" max="8969" width="31.28515625" style="500" customWidth="1"/>
    <col min="8970" max="8970" width="12.28515625" style="500" bestFit="1" customWidth="1"/>
    <col min="8971" max="9215" width="11.42578125" style="500"/>
    <col min="9216" max="9216" width="37" style="500" customWidth="1"/>
    <col min="9217" max="9217" width="7.28515625" style="500" bestFit="1" customWidth="1"/>
    <col min="9218" max="9219" width="17.140625" style="500" customWidth="1"/>
    <col min="9220" max="9220" width="17.85546875" style="500" customWidth="1"/>
    <col min="9221" max="9221" width="7.42578125" style="500" customWidth="1"/>
    <col min="9222" max="9223" width="0" style="500" hidden="1" customWidth="1"/>
    <col min="9224" max="9224" width="49" style="500" customWidth="1"/>
    <col min="9225" max="9225" width="31.28515625" style="500" customWidth="1"/>
    <col min="9226" max="9226" width="12.28515625" style="500" bestFit="1" customWidth="1"/>
    <col min="9227" max="9471" width="11.42578125" style="500"/>
    <col min="9472" max="9472" width="37" style="500" customWidth="1"/>
    <col min="9473" max="9473" width="7.28515625" style="500" bestFit="1" customWidth="1"/>
    <col min="9474" max="9475" width="17.140625" style="500" customWidth="1"/>
    <col min="9476" max="9476" width="17.85546875" style="500" customWidth="1"/>
    <col min="9477" max="9477" width="7.42578125" style="500" customWidth="1"/>
    <col min="9478" max="9479" width="0" style="500" hidden="1" customWidth="1"/>
    <col min="9480" max="9480" width="49" style="500" customWidth="1"/>
    <col min="9481" max="9481" width="31.28515625" style="500" customWidth="1"/>
    <col min="9482" max="9482" width="12.28515625" style="500" bestFit="1" customWidth="1"/>
    <col min="9483" max="9727" width="11.42578125" style="500"/>
    <col min="9728" max="9728" width="37" style="500" customWidth="1"/>
    <col min="9729" max="9729" width="7.28515625" style="500" bestFit="1" customWidth="1"/>
    <col min="9730" max="9731" width="17.140625" style="500" customWidth="1"/>
    <col min="9732" max="9732" width="17.85546875" style="500" customWidth="1"/>
    <col min="9733" max="9733" width="7.42578125" style="500" customWidth="1"/>
    <col min="9734" max="9735" width="0" style="500" hidden="1" customWidth="1"/>
    <col min="9736" max="9736" width="49" style="500" customWidth="1"/>
    <col min="9737" max="9737" width="31.28515625" style="500" customWidth="1"/>
    <col min="9738" max="9738" width="12.28515625" style="500" bestFit="1" customWidth="1"/>
    <col min="9739" max="9983" width="11.42578125" style="500"/>
    <col min="9984" max="9984" width="37" style="500" customWidth="1"/>
    <col min="9985" max="9985" width="7.28515625" style="500" bestFit="1" customWidth="1"/>
    <col min="9986" max="9987" width="17.140625" style="500" customWidth="1"/>
    <col min="9988" max="9988" width="17.85546875" style="500" customWidth="1"/>
    <col min="9989" max="9989" width="7.42578125" style="500" customWidth="1"/>
    <col min="9990" max="9991" width="0" style="500" hidden="1" customWidth="1"/>
    <col min="9992" max="9992" width="49" style="500" customWidth="1"/>
    <col min="9993" max="9993" width="31.28515625" style="500" customWidth="1"/>
    <col min="9994" max="9994" width="12.28515625" style="500" bestFit="1" customWidth="1"/>
    <col min="9995" max="10239" width="11.42578125" style="500"/>
    <col min="10240" max="10240" width="37" style="500" customWidth="1"/>
    <col min="10241" max="10241" width="7.28515625" style="500" bestFit="1" customWidth="1"/>
    <col min="10242" max="10243" width="17.140625" style="500" customWidth="1"/>
    <col min="10244" max="10244" width="17.85546875" style="500" customWidth="1"/>
    <col min="10245" max="10245" width="7.42578125" style="500" customWidth="1"/>
    <col min="10246" max="10247" width="0" style="500" hidden="1" customWidth="1"/>
    <col min="10248" max="10248" width="49" style="500" customWidth="1"/>
    <col min="10249" max="10249" width="31.28515625" style="500" customWidth="1"/>
    <col min="10250" max="10250" width="12.28515625" style="500" bestFit="1" customWidth="1"/>
    <col min="10251" max="10495" width="11.42578125" style="500"/>
    <col min="10496" max="10496" width="37" style="500" customWidth="1"/>
    <col min="10497" max="10497" width="7.28515625" style="500" bestFit="1" customWidth="1"/>
    <col min="10498" max="10499" width="17.140625" style="500" customWidth="1"/>
    <col min="10500" max="10500" width="17.85546875" style="500" customWidth="1"/>
    <col min="10501" max="10501" width="7.42578125" style="500" customWidth="1"/>
    <col min="10502" max="10503" width="0" style="500" hidden="1" customWidth="1"/>
    <col min="10504" max="10504" width="49" style="500" customWidth="1"/>
    <col min="10505" max="10505" width="31.28515625" style="500" customWidth="1"/>
    <col min="10506" max="10506" width="12.28515625" style="500" bestFit="1" customWidth="1"/>
    <col min="10507" max="10751" width="11.42578125" style="500"/>
    <col min="10752" max="10752" width="37" style="500" customWidth="1"/>
    <col min="10753" max="10753" width="7.28515625" style="500" bestFit="1" customWidth="1"/>
    <col min="10754" max="10755" width="17.140625" style="500" customWidth="1"/>
    <col min="10756" max="10756" width="17.85546875" style="500" customWidth="1"/>
    <col min="10757" max="10757" width="7.42578125" style="500" customWidth="1"/>
    <col min="10758" max="10759" width="0" style="500" hidden="1" customWidth="1"/>
    <col min="10760" max="10760" width="49" style="500" customWidth="1"/>
    <col min="10761" max="10761" width="31.28515625" style="500" customWidth="1"/>
    <col min="10762" max="10762" width="12.28515625" style="500" bestFit="1" customWidth="1"/>
    <col min="10763" max="11007" width="11.42578125" style="500"/>
    <col min="11008" max="11008" width="37" style="500" customWidth="1"/>
    <col min="11009" max="11009" width="7.28515625" style="500" bestFit="1" customWidth="1"/>
    <col min="11010" max="11011" width="17.140625" style="500" customWidth="1"/>
    <col min="11012" max="11012" width="17.85546875" style="500" customWidth="1"/>
    <col min="11013" max="11013" width="7.42578125" style="500" customWidth="1"/>
    <col min="11014" max="11015" width="0" style="500" hidden="1" customWidth="1"/>
    <col min="11016" max="11016" width="49" style="500" customWidth="1"/>
    <col min="11017" max="11017" width="31.28515625" style="500" customWidth="1"/>
    <col min="11018" max="11018" width="12.28515625" style="500" bestFit="1" customWidth="1"/>
    <col min="11019" max="11263" width="11.42578125" style="500"/>
    <col min="11264" max="11264" width="37" style="500" customWidth="1"/>
    <col min="11265" max="11265" width="7.28515625" style="500" bestFit="1" customWidth="1"/>
    <col min="11266" max="11267" width="17.140625" style="500" customWidth="1"/>
    <col min="11268" max="11268" width="17.85546875" style="500" customWidth="1"/>
    <col min="11269" max="11269" width="7.42578125" style="500" customWidth="1"/>
    <col min="11270" max="11271" width="0" style="500" hidden="1" customWidth="1"/>
    <col min="11272" max="11272" width="49" style="500" customWidth="1"/>
    <col min="11273" max="11273" width="31.28515625" style="500" customWidth="1"/>
    <col min="11274" max="11274" width="12.28515625" style="500" bestFit="1" customWidth="1"/>
    <col min="11275" max="11519" width="11.42578125" style="500"/>
    <col min="11520" max="11520" width="37" style="500" customWidth="1"/>
    <col min="11521" max="11521" width="7.28515625" style="500" bestFit="1" customWidth="1"/>
    <col min="11522" max="11523" width="17.140625" style="500" customWidth="1"/>
    <col min="11524" max="11524" width="17.85546875" style="500" customWidth="1"/>
    <col min="11525" max="11525" width="7.42578125" style="500" customWidth="1"/>
    <col min="11526" max="11527" width="0" style="500" hidden="1" customWidth="1"/>
    <col min="11528" max="11528" width="49" style="500" customWidth="1"/>
    <col min="11529" max="11529" width="31.28515625" style="500" customWidth="1"/>
    <col min="11530" max="11530" width="12.28515625" style="500" bestFit="1" customWidth="1"/>
    <col min="11531" max="11775" width="11.42578125" style="500"/>
    <col min="11776" max="11776" width="37" style="500" customWidth="1"/>
    <col min="11777" max="11777" width="7.28515625" style="500" bestFit="1" customWidth="1"/>
    <col min="11778" max="11779" width="17.140625" style="500" customWidth="1"/>
    <col min="11780" max="11780" width="17.85546875" style="500" customWidth="1"/>
    <col min="11781" max="11781" width="7.42578125" style="500" customWidth="1"/>
    <col min="11782" max="11783" width="0" style="500" hidden="1" customWidth="1"/>
    <col min="11784" max="11784" width="49" style="500" customWidth="1"/>
    <col min="11785" max="11785" width="31.28515625" style="500" customWidth="1"/>
    <col min="11786" max="11786" width="12.28515625" style="500" bestFit="1" customWidth="1"/>
    <col min="11787" max="12031" width="11.42578125" style="500"/>
    <col min="12032" max="12032" width="37" style="500" customWidth="1"/>
    <col min="12033" max="12033" width="7.28515625" style="500" bestFit="1" customWidth="1"/>
    <col min="12034" max="12035" width="17.140625" style="500" customWidth="1"/>
    <col min="12036" max="12036" width="17.85546875" style="500" customWidth="1"/>
    <col min="12037" max="12037" width="7.42578125" style="500" customWidth="1"/>
    <col min="12038" max="12039" width="0" style="500" hidden="1" customWidth="1"/>
    <col min="12040" max="12040" width="49" style="500" customWidth="1"/>
    <col min="12041" max="12041" width="31.28515625" style="500" customWidth="1"/>
    <col min="12042" max="12042" width="12.28515625" style="500" bestFit="1" customWidth="1"/>
    <col min="12043" max="12287" width="11.42578125" style="500"/>
    <col min="12288" max="12288" width="37" style="500" customWidth="1"/>
    <col min="12289" max="12289" width="7.28515625" style="500" bestFit="1" customWidth="1"/>
    <col min="12290" max="12291" width="17.140625" style="500" customWidth="1"/>
    <col min="12292" max="12292" width="17.85546875" style="500" customWidth="1"/>
    <col min="12293" max="12293" width="7.42578125" style="500" customWidth="1"/>
    <col min="12294" max="12295" width="0" style="500" hidden="1" customWidth="1"/>
    <col min="12296" max="12296" width="49" style="500" customWidth="1"/>
    <col min="12297" max="12297" width="31.28515625" style="500" customWidth="1"/>
    <col min="12298" max="12298" width="12.28515625" style="500" bestFit="1" customWidth="1"/>
    <col min="12299" max="12543" width="11.42578125" style="500"/>
    <col min="12544" max="12544" width="37" style="500" customWidth="1"/>
    <col min="12545" max="12545" width="7.28515625" style="500" bestFit="1" customWidth="1"/>
    <col min="12546" max="12547" width="17.140625" style="500" customWidth="1"/>
    <col min="12548" max="12548" width="17.85546875" style="500" customWidth="1"/>
    <col min="12549" max="12549" width="7.42578125" style="500" customWidth="1"/>
    <col min="12550" max="12551" width="0" style="500" hidden="1" customWidth="1"/>
    <col min="12552" max="12552" width="49" style="500" customWidth="1"/>
    <col min="12553" max="12553" width="31.28515625" style="500" customWidth="1"/>
    <col min="12554" max="12554" width="12.28515625" style="500" bestFit="1" customWidth="1"/>
    <col min="12555" max="12799" width="11.42578125" style="500"/>
    <col min="12800" max="12800" width="37" style="500" customWidth="1"/>
    <col min="12801" max="12801" width="7.28515625" style="500" bestFit="1" customWidth="1"/>
    <col min="12802" max="12803" width="17.140625" style="500" customWidth="1"/>
    <col min="12804" max="12804" width="17.85546875" style="500" customWidth="1"/>
    <col min="12805" max="12805" width="7.42578125" style="500" customWidth="1"/>
    <col min="12806" max="12807" width="0" style="500" hidden="1" customWidth="1"/>
    <col min="12808" max="12808" width="49" style="500" customWidth="1"/>
    <col min="12809" max="12809" width="31.28515625" style="500" customWidth="1"/>
    <col min="12810" max="12810" width="12.28515625" style="500" bestFit="1" customWidth="1"/>
    <col min="12811" max="13055" width="11.42578125" style="500"/>
    <col min="13056" max="13056" width="37" style="500" customWidth="1"/>
    <col min="13057" max="13057" width="7.28515625" style="500" bestFit="1" customWidth="1"/>
    <col min="13058" max="13059" width="17.140625" style="500" customWidth="1"/>
    <col min="13060" max="13060" width="17.85546875" style="500" customWidth="1"/>
    <col min="13061" max="13061" width="7.42578125" style="500" customWidth="1"/>
    <col min="13062" max="13063" width="0" style="500" hidden="1" customWidth="1"/>
    <col min="13064" max="13064" width="49" style="500" customWidth="1"/>
    <col min="13065" max="13065" width="31.28515625" style="500" customWidth="1"/>
    <col min="13066" max="13066" width="12.28515625" style="500" bestFit="1" customWidth="1"/>
    <col min="13067" max="13311" width="11.42578125" style="500"/>
    <col min="13312" max="13312" width="37" style="500" customWidth="1"/>
    <col min="13313" max="13313" width="7.28515625" style="500" bestFit="1" customWidth="1"/>
    <col min="13314" max="13315" width="17.140625" style="500" customWidth="1"/>
    <col min="13316" max="13316" width="17.85546875" style="500" customWidth="1"/>
    <col min="13317" max="13317" width="7.42578125" style="500" customWidth="1"/>
    <col min="13318" max="13319" width="0" style="500" hidden="1" customWidth="1"/>
    <col min="13320" max="13320" width="49" style="500" customWidth="1"/>
    <col min="13321" max="13321" width="31.28515625" style="500" customWidth="1"/>
    <col min="13322" max="13322" width="12.28515625" style="500" bestFit="1" customWidth="1"/>
    <col min="13323" max="13567" width="11.42578125" style="500"/>
    <col min="13568" max="13568" width="37" style="500" customWidth="1"/>
    <col min="13569" max="13569" width="7.28515625" style="500" bestFit="1" customWidth="1"/>
    <col min="13570" max="13571" width="17.140625" style="500" customWidth="1"/>
    <col min="13572" max="13572" width="17.85546875" style="500" customWidth="1"/>
    <col min="13573" max="13573" width="7.42578125" style="500" customWidth="1"/>
    <col min="13574" max="13575" width="0" style="500" hidden="1" customWidth="1"/>
    <col min="13576" max="13576" width="49" style="500" customWidth="1"/>
    <col min="13577" max="13577" width="31.28515625" style="500" customWidth="1"/>
    <col min="13578" max="13578" width="12.28515625" style="500" bestFit="1" customWidth="1"/>
    <col min="13579" max="13823" width="11.42578125" style="500"/>
    <col min="13824" max="13824" width="37" style="500" customWidth="1"/>
    <col min="13825" max="13825" width="7.28515625" style="500" bestFit="1" customWidth="1"/>
    <col min="13826" max="13827" width="17.140625" style="500" customWidth="1"/>
    <col min="13828" max="13828" width="17.85546875" style="500" customWidth="1"/>
    <col min="13829" max="13829" width="7.42578125" style="500" customWidth="1"/>
    <col min="13830" max="13831" width="0" style="500" hidden="1" customWidth="1"/>
    <col min="13832" max="13832" width="49" style="500" customWidth="1"/>
    <col min="13833" max="13833" width="31.28515625" style="500" customWidth="1"/>
    <col min="13834" max="13834" width="12.28515625" style="500" bestFit="1" customWidth="1"/>
    <col min="13835" max="14079" width="11.42578125" style="500"/>
    <col min="14080" max="14080" width="37" style="500" customWidth="1"/>
    <col min="14081" max="14081" width="7.28515625" style="500" bestFit="1" customWidth="1"/>
    <col min="14082" max="14083" width="17.140625" style="500" customWidth="1"/>
    <col min="14084" max="14084" width="17.85546875" style="500" customWidth="1"/>
    <col min="14085" max="14085" width="7.42578125" style="500" customWidth="1"/>
    <col min="14086" max="14087" width="0" style="500" hidden="1" customWidth="1"/>
    <col min="14088" max="14088" width="49" style="500" customWidth="1"/>
    <col min="14089" max="14089" width="31.28515625" style="500" customWidth="1"/>
    <col min="14090" max="14090" width="12.28515625" style="500" bestFit="1" customWidth="1"/>
    <col min="14091" max="14335" width="11.42578125" style="500"/>
    <col min="14336" max="14336" width="37" style="500" customWidth="1"/>
    <col min="14337" max="14337" width="7.28515625" style="500" bestFit="1" customWidth="1"/>
    <col min="14338" max="14339" width="17.140625" style="500" customWidth="1"/>
    <col min="14340" max="14340" width="17.85546875" style="500" customWidth="1"/>
    <col min="14341" max="14341" width="7.42578125" style="500" customWidth="1"/>
    <col min="14342" max="14343" width="0" style="500" hidden="1" customWidth="1"/>
    <col min="14344" max="14344" width="49" style="500" customWidth="1"/>
    <col min="14345" max="14345" width="31.28515625" style="500" customWidth="1"/>
    <col min="14346" max="14346" width="12.28515625" style="500" bestFit="1" customWidth="1"/>
    <col min="14347" max="14591" width="11.42578125" style="500"/>
    <col min="14592" max="14592" width="37" style="500" customWidth="1"/>
    <col min="14593" max="14593" width="7.28515625" style="500" bestFit="1" customWidth="1"/>
    <col min="14594" max="14595" width="17.140625" style="500" customWidth="1"/>
    <col min="14596" max="14596" width="17.85546875" style="500" customWidth="1"/>
    <col min="14597" max="14597" width="7.42578125" style="500" customWidth="1"/>
    <col min="14598" max="14599" width="0" style="500" hidden="1" customWidth="1"/>
    <col min="14600" max="14600" width="49" style="500" customWidth="1"/>
    <col min="14601" max="14601" width="31.28515625" style="500" customWidth="1"/>
    <col min="14602" max="14602" width="12.28515625" style="500" bestFit="1" customWidth="1"/>
    <col min="14603" max="14847" width="11.42578125" style="500"/>
    <col min="14848" max="14848" width="37" style="500" customWidth="1"/>
    <col min="14849" max="14849" width="7.28515625" style="500" bestFit="1" customWidth="1"/>
    <col min="14850" max="14851" width="17.140625" style="500" customWidth="1"/>
    <col min="14852" max="14852" width="17.85546875" style="500" customWidth="1"/>
    <col min="14853" max="14853" width="7.42578125" style="500" customWidth="1"/>
    <col min="14854" max="14855" width="0" style="500" hidden="1" customWidth="1"/>
    <col min="14856" max="14856" width="49" style="500" customWidth="1"/>
    <col min="14857" max="14857" width="31.28515625" style="500" customWidth="1"/>
    <col min="14858" max="14858" width="12.28515625" style="500" bestFit="1" customWidth="1"/>
    <col min="14859" max="15103" width="11.42578125" style="500"/>
    <col min="15104" max="15104" width="37" style="500" customWidth="1"/>
    <col min="15105" max="15105" width="7.28515625" style="500" bestFit="1" customWidth="1"/>
    <col min="15106" max="15107" width="17.140625" style="500" customWidth="1"/>
    <col min="15108" max="15108" width="17.85546875" style="500" customWidth="1"/>
    <col min="15109" max="15109" width="7.42578125" style="500" customWidth="1"/>
    <col min="15110" max="15111" width="0" style="500" hidden="1" customWidth="1"/>
    <col min="15112" max="15112" width="49" style="500" customWidth="1"/>
    <col min="15113" max="15113" width="31.28515625" style="500" customWidth="1"/>
    <col min="15114" max="15114" width="12.28515625" style="500" bestFit="1" customWidth="1"/>
    <col min="15115" max="15359" width="11.42578125" style="500"/>
    <col min="15360" max="15360" width="37" style="500" customWidth="1"/>
    <col min="15361" max="15361" width="7.28515625" style="500" bestFit="1" customWidth="1"/>
    <col min="15362" max="15363" width="17.140625" style="500" customWidth="1"/>
    <col min="15364" max="15364" width="17.85546875" style="500" customWidth="1"/>
    <col min="15365" max="15365" width="7.42578125" style="500" customWidth="1"/>
    <col min="15366" max="15367" width="0" style="500" hidden="1" customWidth="1"/>
    <col min="15368" max="15368" width="49" style="500" customWidth="1"/>
    <col min="15369" max="15369" width="31.28515625" style="500" customWidth="1"/>
    <col min="15370" max="15370" width="12.28515625" style="500" bestFit="1" customWidth="1"/>
    <col min="15371" max="15615" width="11.42578125" style="500"/>
    <col min="15616" max="15616" width="37" style="500" customWidth="1"/>
    <col min="15617" max="15617" width="7.28515625" style="500" bestFit="1" customWidth="1"/>
    <col min="15618" max="15619" width="17.140625" style="500" customWidth="1"/>
    <col min="15620" max="15620" width="17.85546875" style="500" customWidth="1"/>
    <col min="15621" max="15621" width="7.42578125" style="500" customWidth="1"/>
    <col min="15622" max="15623" width="0" style="500" hidden="1" customWidth="1"/>
    <col min="15624" max="15624" width="49" style="500" customWidth="1"/>
    <col min="15625" max="15625" width="31.28515625" style="500" customWidth="1"/>
    <col min="15626" max="15626" width="12.28515625" style="500" bestFit="1" customWidth="1"/>
    <col min="15627" max="15871" width="11.42578125" style="500"/>
    <col min="15872" max="15872" width="37" style="500" customWidth="1"/>
    <col min="15873" max="15873" width="7.28515625" style="500" bestFit="1" customWidth="1"/>
    <col min="15874" max="15875" width="17.140625" style="500" customWidth="1"/>
    <col min="15876" max="15876" width="17.85546875" style="500" customWidth="1"/>
    <col min="15877" max="15877" width="7.42578125" style="500" customWidth="1"/>
    <col min="15878" max="15879" width="0" style="500" hidden="1" customWidth="1"/>
    <col min="15880" max="15880" width="49" style="500" customWidth="1"/>
    <col min="15881" max="15881" width="31.28515625" style="500" customWidth="1"/>
    <col min="15882" max="15882" width="12.28515625" style="500" bestFit="1" customWidth="1"/>
    <col min="15883" max="16127" width="11.42578125" style="500"/>
    <col min="16128" max="16128" width="37" style="500" customWidth="1"/>
    <col min="16129" max="16129" width="7.28515625" style="500" bestFit="1" customWidth="1"/>
    <col min="16130" max="16131" width="17.140625" style="500" customWidth="1"/>
    <col min="16132" max="16132" width="17.85546875" style="500" customWidth="1"/>
    <col min="16133" max="16133" width="7.42578125" style="500" customWidth="1"/>
    <col min="16134" max="16135" width="0" style="500" hidden="1" customWidth="1"/>
    <col min="16136" max="16136" width="49" style="500" customWidth="1"/>
    <col min="16137" max="16137" width="31.28515625" style="500" customWidth="1"/>
    <col min="16138" max="16138" width="12.28515625" style="500" bestFit="1" customWidth="1"/>
    <col min="16139" max="16384" width="11.42578125" style="500"/>
  </cols>
  <sheetData>
    <row r="1" spans="1:27">
      <c r="A1" s="499" t="s">
        <v>49</v>
      </c>
      <c r="B1" s="499"/>
      <c r="C1" s="499"/>
      <c r="D1" s="499"/>
    </row>
    <row r="2" spans="1:27">
      <c r="A2" s="499" t="s">
        <v>50</v>
      </c>
      <c r="B2" s="499"/>
      <c r="C2" s="499"/>
      <c r="D2" s="499"/>
    </row>
    <row r="3" spans="1:27">
      <c r="A3" s="855" t="s">
        <v>366</v>
      </c>
      <c r="B3" s="855"/>
      <c r="C3" s="855"/>
      <c r="D3" s="855"/>
      <c r="E3" s="855"/>
    </row>
    <row r="4" spans="1:27">
      <c r="A4" s="855" t="s">
        <v>52</v>
      </c>
      <c r="B4" s="855"/>
      <c r="C4" s="855"/>
      <c r="D4" s="855"/>
      <c r="E4" s="855"/>
    </row>
    <row r="5" spans="1:27">
      <c r="A5" s="50"/>
      <c r="B5" s="390"/>
      <c r="C5" s="390"/>
      <c r="D5" s="391"/>
      <c r="E5" s="391"/>
    </row>
    <row r="6" spans="1:27" ht="15.75">
      <c r="B6" s="390">
        <v>43891</v>
      </c>
      <c r="C6" s="390">
        <v>43862</v>
      </c>
      <c r="D6" s="501" t="s">
        <v>545</v>
      </c>
      <c r="E6" s="501" t="s">
        <v>17</v>
      </c>
      <c r="F6" s="502">
        <v>2009</v>
      </c>
      <c r="G6" s="502">
        <v>2008</v>
      </c>
      <c r="H6" s="389"/>
      <c r="I6" s="514"/>
      <c r="N6" s="389"/>
      <c r="O6" s="389"/>
      <c r="P6" s="389"/>
      <c r="Q6" s="389"/>
      <c r="R6" s="389"/>
      <c r="S6" s="389"/>
      <c r="T6" s="389"/>
      <c r="U6" s="389"/>
      <c r="V6" s="389"/>
      <c r="W6" s="389"/>
      <c r="X6" s="389"/>
      <c r="Y6" s="389"/>
      <c r="Z6" s="389"/>
      <c r="AA6" s="389"/>
    </row>
    <row r="7" spans="1:27" ht="19.5" customHeight="1">
      <c r="A7" s="503" t="s">
        <v>0</v>
      </c>
      <c r="B7" s="504"/>
      <c r="C7" s="504"/>
      <c r="F7" s="504"/>
      <c r="G7" s="504"/>
      <c r="H7" s="389"/>
      <c r="I7" s="514"/>
      <c r="N7" s="389"/>
      <c r="O7" s="389"/>
      <c r="P7" s="389"/>
      <c r="Q7" s="389"/>
      <c r="R7" s="389"/>
      <c r="S7" s="389"/>
      <c r="T7" s="389"/>
      <c r="U7" s="389"/>
      <c r="V7" s="389"/>
      <c r="W7" s="389"/>
      <c r="X7" s="389"/>
      <c r="Y7" s="389"/>
      <c r="Z7" s="389"/>
      <c r="AA7" s="389"/>
    </row>
    <row r="8" spans="1:27" s="508" customFormat="1" ht="19.5" customHeight="1">
      <c r="A8" s="509" t="s">
        <v>55</v>
      </c>
      <c r="B8" s="511">
        <f>SUM(B9:B10)</f>
        <v>172446000.91</v>
      </c>
      <c r="C8" s="511">
        <f>SUM(C9:C10)</f>
        <v>168722055.90999985</v>
      </c>
      <c r="D8" s="511">
        <f>SUM(D9:D10)</f>
        <v>3723945.000000149</v>
      </c>
      <c r="E8" s="512">
        <f>+B8/C8-1</f>
        <v>2.2071477139814943E-2</v>
      </c>
      <c r="F8" s="511">
        <f>SUM(F9:F10)</f>
        <v>0</v>
      </c>
      <c r="G8" s="511">
        <f>SUM(G9:G10)</f>
        <v>0</v>
      </c>
      <c r="H8" s="389"/>
      <c r="I8" s="514"/>
      <c r="J8" s="531"/>
      <c r="N8" s="389"/>
      <c r="O8" s="389"/>
      <c r="P8" s="389"/>
      <c r="Q8" s="389"/>
      <c r="R8" s="389"/>
      <c r="S8" s="389"/>
      <c r="T8" s="389"/>
      <c r="U8" s="389"/>
      <c r="V8" s="389"/>
      <c r="W8" s="389"/>
      <c r="X8" s="389"/>
      <c r="Y8" s="389"/>
      <c r="Z8" s="389"/>
      <c r="AA8" s="389"/>
    </row>
    <row r="9" spans="1:27" s="508" customFormat="1" ht="15.75">
      <c r="A9" s="513" t="s">
        <v>56</v>
      </c>
      <c r="B9" s="514">
        <v>600000</v>
      </c>
      <c r="C9" s="514">
        <v>600000</v>
      </c>
      <c r="D9" s="515">
        <f>+B9-C9</f>
        <v>0</v>
      </c>
      <c r="E9" s="516">
        <f>IF(C9=0,0,D9/C9)</f>
        <v>0</v>
      </c>
      <c r="F9" s="517"/>
      <c r="G9" s="517"/>
      <c r="H9" s="389"/>
      <c r="I9" s="514"/>
      <c r="N9" s="389"/>
      <c r="O9" s="389"/>
      <c r="P9" s="389"/>
      <c r="Q9" s="389"/>
      <c r="R9" s="389"/>
      <c r="S9" s="389"/>
      <c r="T9" s="389"/>
      <c r="U9" s="389"/>
      <c r="V9" s="389"/>
      <c r="W9" s="389"/>
      <c r="X9" s="389"/>
      <c r="Y9" s="389"/>
      <c r="Z9" s="389"/>
      <c r="AA9" s="389"/>
    </row>
    <row r="10" spans="1:27" s="508" customFormat="1" ht="15.75">
      <c r="A10" s="513" t="s">
        <v>1</v>
      </c>
      <c r="B10" s="514">
        <f>171846000.91</f>
        <v>171846000.91</v>
      </c>
      <c r="C10" s="514">
        <v>168122055.90999985</v>
      </c>
      <c r="D10" s="515">
        <f>+B10-C10</f>
        <v>3723945.000000149</v>
      </c>
      <c r="E10" s="516">
        <f>IF(C10=0,0,D10/C10)</f>
        <v>2.2150246616028029E-2</v>
      </c>
      <c r="F10" s="517"/>
      <c r="G10" s="517"/>
      <c r="H10" s="389"/>
      <c r="I10" s="514"/>
      <c r="N10" s="389"/>
      <c r="O10" s="389"/>
      <c r="P10" s="389"/>
      <c r="Q10" s="389"/>
      <c r="R10" s="389"/>
      <c r="S10" s="389"/>
      <c r="T10" s="389"/>
      <c r="U10" s="389"/>
      <c r="V10" s="389"/>
      <c r="W10" s="389"/>
      <c r="X10" s="389"/>
      <c r="Y10" s="389"/>
      <c r="Z10" s="389"/>
      <c r="AA10" s="389"/>
    </row>
    <row r="11" spans="1:27" s="508" customFormat="1" ht="21" customHeight="1">
      <c r="A11" s="509" t="s">
        <v>546</v>
      </c>
      <c r="B11" s="645">
        <v>866163.54000005126</v>
      </c>
      <c r="C11" s="520">
        <v>17866164</v>
      </c>
      <c r="D11" s="511">
        <f>+B11-C11</f>
        <v>-17000000.459999949</v>
      </c>
      <c r="E11" s="512">
        <f>+B11/C11-1</f>
        <v>-0.95151933341706418</v>
      </c>
      <c r="F11" s="511"/>
      <c r="G11" s="511"/>
      <c r="H11" s="389"/>
      <c r="I11" s="514"/>
      <c r="J11" s="521"/>
      <c r="N11" s="389"/>
      <c r="O11" s="389"/>
      <c r="P11" s="389"/>
      <c r="Q11" s="389"/>
      <c r="R11" s="389"/>
      <c r="S11" s="389"/>
      <c r="T11" s="389"/>
      <c r="U11" s="389"/>
      <c r="V11" s="389"/>
      <c r="W11" s="389"/>
      <c r="X11" s="389"/>
      <c r="Y11" s="389"/>
      <c r="Z11" s="389"/>
      <c r="AA11" s="389"/>
    </row>
    <row r="12" spans="1:27" s="508" customFormat="1" ht="24.75" customHeight="1">
      <c r="A12" s="509" t="s">
        <v>61</v>
      </c>
      <c r="B12" s="511">
        <f>SUM(B13:B17)</f>
        <v>73662478</v>
      </c>
      <c r="C12" s="511">
        <f>SUM(C13:C17)</f>
        <v>70590828</v>
      </c>
      <c r="D12" s="511">
        <f>SUM(D13:D17)</f>
        <v>3071650</v>
      </c>
      <c r="E12" s="512">
        <f>+B12/C12-1</f>
        <v>4.3513443417889874E-2</v>
      </c>
      <c r="F12" s="511">
        <f>SUM(F13:F16)</f>
        <v>35625500</v>
      </c>
      <c r="G12" s="511">
        <f>SUM(G13:G16)</f>
        <v>30767660</v>
      </c>
      <c r="H12" s="389"/>
      <c r="I12" s="514"/>
      <c r="J12" s="390">
        <v>43800</v>
      </c>
      <c r="K12" s="508" t="s">
        <v>703</v>
      </c>
      <c r="N12" s="389"/>
      <c r="O12" s="389"/>
      <c r="P12" s="389"/>
      <c r="Q12" s="389"/>
      <c r="R12" s="389"/>
      <c r="S12" s="389"/>
      <c r="T12" s="389"/>
      <c r="U12" s="389"/>
      <c r="V12" s="389"/>
      <c r="W12" s="389"/>
      <c r="X12" s="389"/>
      <c r="Y12" s="389"/>
      <c r="Z12" s="389"/>
      <c r="AA12" s="389"/>
    </row>
    <row r="13" spans="1:27" s="508" customFormat="1" ht="15.75">
      <c r="A13" s="513" t="s">
        <v>62</v>
      </c>
      <c r="B13" s="514">
        <v>71958254</v>
      </c>
      <c r="C13" s="514">
        <v>68174204</v>
      </c>
      <c r="D13" s="515">
        <f t="shared" ref="D13:D18" si="0">+B13-C13</f>
        <v>3784050</v>
      </c>
      <c r="E13" s="516">
        <f t="shared" ref="E13:E17" si="1">IF(C13=0,0,D13/C13)</f>
        <v>5.5505598569218349E-2</v>
      </c>
      <c r="F13" s="518">
        <v>33892500</v>
      </c>
      <c r="G13" s="518">
        <v>29624680</v>
      </c>
      <c r="H13" s="389"/>
      <c r="I13" s="514"/>
      <c r="J13" s="514">
        <f>+'[3]comp (2)'!$C$17</f>
        <v>75083344</v>
      </c>
      <c r="K13" s="543">
        <f>+B13-J13</f>
        <v>-3125090</v>
      </c>
      <c r="L13" s="516">
        <f t="shared" ref="L13:L17" si="2">IF(J13=0,0,K13/J13)</f>
        <v>-4.1621614508805041E-2</v>
      </c>
      <c r="N13" s="601"/>
      <c r="O13" s="389"/>
      <c r="P13" s="389"/>
      <c r="Q13" s="389"/>
      <c r="R13" s="389"/>
      <c r="S13" s="389"/>
      <c r="T13" s="389"/>
      <c r="U13" s="389"/>
      <c r="V13" s="389"/>
      <c r="W13" s="389"/>
      <c r="X13" s="389"/>
      <c r="Y13" s="389"/>
      <c r="Z13" s="389"/>
      <c r="AA13" s="389"/>
    </row>
    <row r="14" spans="1:27" s="508" customFormat="1" ht="15.75">
      <c r="A14" s="513" t="s">
        <v>63</v>
      </c>
      <c r="B14" s="514">
        <v>2468550</v>
      </c>
      <c r="C14" s="514">
        <v>2468550</v>
      </c>
      <c r="D14" s="515">
        <f t="shared" si="0"/>
        <v>0</v>
      </c>
      <c r="E14" s="516">
        <f t="shared" si="1"/>
        <v>0</v>
      </c>
      <c r="F14" s="518"/>
      <c r="G14" s="518">
        <v>20000</v>
      </c>
      <c r="H14" s="389"/>
      <c r="I14" s="514"/>
      <c r="J14" s="514">
        <f>+'[3]comp (2)'!$C$18</f>
        <v>3610200</v>
      </c>
      <c r="K14" s="543">
        <f t="shared" ref="K14:K15" si="3">+B14-J14</f>
        <v>-1141650</v>
      </c>
      <c r="L14" s="516">
        <f t="shared" si="2"/>
        <v>-0.31622901778294832</v>
      </c>
      <c r="N14" s="601"/>
      <c r="O14" s="389"/>
      <c r="P14" s="389"/>
      <c r="Q14" s="389"/>
      <c r="R14" s="389"/>
      <c r="S14" s="389"/>
      <c r="T14" s="389"/>
      <c r="U14" s="389"/>
      <c r="V14" s="389"/>
      <c r="W14" s="389"/>
      <c r="X14" s="389"/>
      <c r="Y14" s="389"/>
      <c r="Z14" s="389"/>
      <c r="AA14" s="389"/>
    </row>
    <row r="15" spans="1:27" s="508" customFormat="1" ht="15.75">
      <c r="A15" s="523" t="s">
        <v>64</v>
      </c>
      <c r="B15" s="514">
        <f>8000+936000</f>
        <v>944000</v>
      </c>
      <c r="C15" s="514">
        <f>173000+1305650</f>
        <v>1478650</v>
      </c>
      <c r="D15" s="515">
        <f t="shared" si="0"/>
        <v>-534650</v>
      </c>
      <c r="E15" s="516">
        <f t="shared" si="1"/>
        <v>-0.36157981942988537</v>
      </c>
      <c r="F15" s="518">
        <f>900000+178000</f>
        <v>1078000</v>
      </c>
      <c r="G15" s="518">
        <v>420000</v>
      </c>
      <c r="H15" s="389"/>
      <c r="I15" s="514"/>
      <c r="J15" s="514">
        <f>+'[3]comp (2)'!$C$19</f>
        <v>2740800</v>
      </c>
      <c r="K15" s="543">
        <f t="shared" si="3"/>
        <v>-1796800</v>
      </c>
      <c r="L15" s="516">
        <f t="shared" si="2"/>
        <v>-0.65557501459427903</v>
      </c>
      <c r="N15" s="389"/>
      <c r="O15" s="389"/>
      <c r="P15" s="389"/>
      <c r="Q15" s="389"/>
      <c r="R15" s="389"/>
      <c r="S15" s="389"/>
      <c r="T15" s="389"/>
      <c r="U15" s="389"/>
      <c r="V15" s="389"/>
      <c r="W15" s="389"/>
      <c r="X15" s="389"/>
      <c r="Y15" s="389"/>
      <c r="Z15" s="389"/>
      <c r="AA15" s="389"/>
    </row>
    <row r="16" spans="1:27" s="508" customFormat="1" ht="15.75">
      <c r="A16" s="513" t="s">
        <v>547</v>
      </c>
      <c r="B16" s="514">
        <f>1011350+18100+75400</f>
        <v>1104850</v>
      </c>
      <c r="C16" s="514">
        <f>1189100+18100+75400</f>
        <v>1282600</v>
      </c>
      <c r="D16" s="515">
        <f t="shared" si="0"/>
        <v>-177750</v>
      </c>
      <c r="E16" s="516">
        <f t="shared" si="1"/>
        <v>-0.13858568532668017</v>
      </c>
      <c r="F16" s="518">
        <f>162000+206000+287000</f>
        <v>655000</v>
      </c>
      <c r="G16" s="518">
        <f>632000+70980</f>
        <v>702980</v>
      </c>
      <c r="H16" s="389"/>
      <c r="I16" s="514"/>
      <c r="J16" s="514">
        <f>+'[3]comp (2)'!$C$20</f>
        <v>2797900</v>
      </c>
      <c r="K16" s="543">
        <f>+B16-J16</f>
        <v>-1693050</v>
      </c>
      <c r="L16" s="516">
        <f t="shared" si="2"/>
        <v>-0.60511455019836302</v>
      </c>
      <c r="N16" s="389"/>
      <c r="O16" s="389"/>
      <c r="P16" s="389"/>
      <c r="Q16" s="389"/>
      <c r="R16" s="389"/>
      <c r="S16" s="389"/>
      <c r="T16" s="389"/>
      <c r="U16" s="389"/>
      <c r="V16" s="389"/>
      <c r="W16" s="389"/>
      <c r="X16" s="389"/>
      <c r="Y16" s="389"/>
      <c r="Z16" s="389"/>
      <c r="AA16" s="389"/>
    </row>
    <row r="17" spans="1:27" s="508" customFormat="1" ht="15.75">
      <c r="A17" s="513" t="s">
        <v>66</v>
      </c>
      <c r="B17" s="514">
        <v>-2813176</v>
      </c>
      <c r="C17" s="514">
        <v>-2813176</v>
      </c>
      <c r="D17" s="515">
        <f t="shared" si="0"/>
        <v>0</v>
      </c>
      <c r="E17" s="516">
        <f t="shared" si="1"/>
        <v>0</v>
      </c>
      <c r="F17" s="518"/>
      <c r="G17" s="518"/>
      <c r="H17" s="389"/>
      <c r="I17" s="514"/>
      <c r="J17" s="600">
        <f>SUM(J13:J16)</f>
        <v>84232244</v>
      </c>
      <c r="K17" s="600">
        <f>SUM(K13:K16)</f>
        <v>-7756590</v>
      </c>
      <c r="L17" s="516">
        <f t="shared" si="2"/>
        <v>-9.208575756333881E-2</v>
      </c>
      <c r="N17" s="389"/>
      <c r="O17" s="389"/>
      <c r="P17" s="389"/>
      <c r="Q17" s="389"/>
      <c r="R17" s="389"/>
      <c r="S17" s="389"/>
      <c r="T17" s="389"/>
      <c r="U17" s="389"/>
      <c r="V17" s="389"/>
      <c r="W17" s="389"/>
      <c r="X17" s="389"/>
      <c r="Y17" s="389"/>
      <c r="Z17" s="389"/>
      <c r="AA17" s="389"/>
    </row>
    <row r="18" spans="1:27" s="508" customFormat="1" ht="23.25" customHeight="1">
      <c r="A18" s="509" t="s">
        <v>67</v>
      </c>
      <c r="B18" s="520">
        <v>-20887675</v>
      </c>
      <c r="C18" s="520">
        <v>-20887675</v>
      </c>
      <c r="D18" s="511">
        <f t="shared" si="0"/>
        <v>0</v>
      </c>
      <c r="E18" s="512">
        <f>+B18/C18-1</f>
        <v>0</v>
      </c>
      <c r="F18" s="511"/>
      <c r="G18" s="511"/>
      <c r="H18" s="389"/>
      <c r="I18" s="514"/>
      <c r="N18" s="389"/>
      <c r="O18" s="389"/>
      <c r="P18" s="389"/>
      <c r="Q18" s="389"/>
      <c r="R18" s="389"/>
      <c r="S18" s="389"/>
      <c r="T18" s="389"/>
      <c r="U18" s="389"/>
      <c r="V18" s="389"/>
      <c r="W18" s="389"/>
      <c r="X18" s="389"/>
      <c r="Y18" s="389"/>
      <c r="Z18" s="389"/>
      <c r="AA18" s="389"/>
    </row>
    <row r="19" spans="1:27" s="508" customFormat="1" ht="24.75" customHeight="1">
      <c r="A19" s="509" t="s">
        <v>68</v>
      </c>
      <c r="B19" s="511">
        <f>+B20+B21</f>
        <v>5340824</v>
      </c>
      <c r="C19" s="511">
        <f>+C20+C21</f>
        <v>7670074</v>
      </c>
      <c r="D19" s="511">
        <f>+B19-C19</f>
        <v>-2329250</v>
      </c>
      <c r="E19" s="512">
        <f>+B19/C19-1</f>
        <v>-0.30368025132482424</v>
      </c>
      <c r="F19" s="511">
        <f>+F20+F21</f>
        <v>0</v>
      </c>
      <c r="G19" s="511">
        <f>+G20+G21</f>
        <v>0</v>
      </c>
      <c r="H19" s="389"/>
      <c r="I19" s="514"/>
      <c r="N19" s="389"/>
      <c r="O19" s="389"/>
      <c r="P19" s="389"/>
      <c r="Q19" s="389"/>
      <c r="R19" s="389"/>
      <c r="S19" s="389"/>
      <c r="T19" s="389"/>
      <c r="U19" s="389"/>
      <c r="V19" s="389"/>
      <c r="W19" s="389"/>
      <c r="X19" s="389"/>
      <c r="Y19" s="389"/>
      <c r="Z19" s="389"/>
      <c r="AA19" s="389"/>
    </row>
    <row r="20" spans="1:27" s="508" customFormat="1" ht="15.75">
      <c r="A20" s="513" t="s">
        <v>548</v>
      </c>
      <c r="B20" s="514">
        <v>5246124</v>
      </c>
      <c r="C20" s="514">
        <v>7570374</v>
      </c>
      <c r="D20" s="515">
        <f>+B20-C20</f>
        <v>-2324250</v>
      </c>
      <c r="E20" s="516">
        <f>IF(C20=0,0,D20/C20)</f>
        <v>-0.30701917765225339</v>
      </c>
      <c r="F20" s="518"/>
      <c r="G20" s="518"/>
      <c r="H20" s="389"/>
      <c r="I20" s="514"/>
      <c r="J20" s="521"/>
      <c r="N20" s="389"/>
      <c r="O20" s="389"/>
      <c r="P20" s="389"/>
      <c r="Q20" s="389"/>
      <c r="R20" s="389"/>
      <c r="S20" s="389"/>
      <c r="T20" s="389"/>
      <c r="U20" s="389"/>
      <c r="V20" s="389"/>
      <c r="W20" s="389"/>
      <c r="X20" s="389"/>
      <c r="Y20" s="389"/>
      <c r="Z20" s="389"/>
      <c r="AA20" s="389"/>
    </row>
    <row r="21" spans="1:27" s="508" customFormat="1" ht="15.75">
      <c r="A21" s="513" t="s">
        <v>686</v>
      </c>
      <c r="B21" s="514">
        <v>94700</v>
      </c>
      <c r="C21" s="514">
        <v>99700</v>
      </c>
      <c r="D21" s="515">
        <f>+B21-C21</f>
        <v>-5000</v>
      </c>
      <c r="E21" s="516">
        <f>IF(C21=0,0,D21/C21)</f>
        <v>-5.0150451354062188E-2</v>
      </c>
      <c r="F21" s="518"/>
      <c r="G21" s="518"/>
      <c r="H21" s="389"/>
      <c r="I21" s="514"/>
      <c r="N21" s="389"/>
      <c r="O21" s="389"/>
      <c r="P21" s="389"/>
      <c r="Q21" s="389"/>
      <c r="R21" s="389"/>
      <c r="S21" s="389"/>
      <c r="T21" s="389"/>
      <c r="U21" s="389"/>
      <c r="V21" s="389"/>
      <c r="W21" s="389"/>
      <c r="X21" s="389"/>
      <c r="Y21" s="389"/>
      <c r="Z21" s="389"/>
      <c r="AA21" s="389"/>
    </row>
    <row r="22" spans="1:27" s="508" customFormat="1" ht="25.5" customHeight="1">
      <c r="A22" s="509" t="s">
        <v>77</v>
      </c>
      <c r="B22" s="511">
        <f>SUM(B23:B23)</f>
        <v>17871119</v>
      </c>
      <c r="C22" s="511">
        <f>SUM(C23:C23)</f>
        <v>21445342</v>
      </c>
      <c r="D22" s="511">
        <f>SUM(D23:D23)</f>
        <v>-3574223</v>
      </c>
      <c r="E22" s="512">
        <f>+B22/C22-1</f>
        <v>-0.16666663557988493</v>
      </c>
      <c r="F22" s="511">
        <f>SUM(F23:F23)</f>
        <v>0</v>
      </c>
      <c r="G22" s="511">
        <f>SUM(G23:G23)</f>
        <v>0</v>
      </c>
      <c r="H22" s="389"/>
      <c r="I22" s="514"/>
      <c r="N22" s="389"/>
      <c r="O22" s="389"/>
      <c r="P22" s="389"/>
      <c r="Q22" s="389"/>
      <c r="R22" s="389"/>
      <c r="S22" s="389"/>
      <c r="T22" s="389"/>
      <c r="U22" s="389"/>
      <c r="V22" s="389"/>
      <c r="W22" s="389"/>
      <c r="X22" s="389"/>
      <c r="Y22" s="389"/>
      <c r="Z22" s="389"/>
      <c r="AA22" s="389"/>
    </row>
    <row r="23" spans="1:27" s="508" customFormat="1" ht="17.25" customHeight="1">
      <c r="A23" s="526" t="s">
        <v>78</v>
      </c>
      <c r="B23" s="514">
        <v>17871119</v>
      </c>
      <c r="C23" s="514">
        <v>21445342</v>
      </c>
      <c r="D23" s="515">
        <f>+B23-C23</f>
        <v>-3574223</v>
      </c>
      <c r="E23" s="516">
        <f>IF(C23=0,0,D23/C23)</f>
        <v>-0.1666666355798849</v>
      </c>
      <c r="F23" s="524"/>
      <c r="G23" s="524"/>
      <c r="H23" s="389"/>
      <c r="I23" s="514"/>
      <c r="N23" s="389"/>
      <c r="O23" s="389"/>
      <c r="P23" s="389"/>
      <c r="Q23" s="389"/>
      <c r="R23" s="389"/>
      <c r="S23" s="389"/>
      <c r="T23" s="389"/>
      <c r="U23" s="389"/>
      <c r="V23" s="389"/>
      <c r="W23" s="389"/>
      <c r="X23" s="389"/>
      <c r="Y23" s="389"/>
      <c r="Z23" s="389"/>
      <c r="AA23" s="389"/>
    </row>
    <row r="24" spans="1:27" s="508" customFormat="1" ht="22.5" customHeight="1">
      <c r="A24" s="510" t="s">
        <v>3</v>
      </c>
      <c r="B24" s="525">
        <f>+B8+B11+B12+B18+B19+B22</f>
        <v>249298910.45000005</v>
      </c>
      <c r="C24" s="525">
        <f>+C8+C11+C12+C18+C19+C22</f>
        <v>265406788.90999985</v>
      </c>
      <c r="D24" s="525">
        <f>+D8+D11+D12+D18+D19+D22</f>
        <v>-16107878.4599998</v>
      </c>
      <c r="E24" s="512">
        <f>+B24/C24-1</f>
        <v>-6.0691282714181116E-2</v>
      </c>
      <c r="F24" s="525" t="e">
        <f>+F8+F11+F12+F18+#REF!+F19+#REF!+#REF!+F22</f>
        <v>#REF!</v>
      </c>
      <c r="G24" s="525" t="e">
        <f>+G8+G11+G12+G18+#REF!+G19+#REF!+#REF!+G22</f>
        <v>#REF!</v>
      </c>
      <c r="H24" s="389"/>
      <c r="I24" s="514"/>
      <c r="J24" s="543"/>
      <c r="N24" s="389"/>
      <c r="O24" s="389"/>
      <c r="P24" s="389"/>
      <c r="Q24" s="389"/>
      <c r="R24" s="389"/>
      <c r="S24" s="389"/>
      <c r="T24" s="389"/>
      <c r="U24" s="389"/>
      <c r="V24" s="389"/>
      <c r="W24" s="389"/>
      <c r="X24" s="389"/>
      <c r="Y24" s="389"/>
      <c r="Z24" s="389"/>
      <c r="AA24" s="389"/>
    </row>
    <row r="25" spans="1:27" s="508" customFormat="1" ht="15.75">
      <c r="A25" s="513"/>
      <c r="B25" s="518"/>
      <c r="C25" s="518"/>
      <c r="D25" s="529"/>
      <c r="F25" s="518"/>
      <c r="G25" s="518"/>
      <c r="H25" s="389"/>
      <c r="I25" s="514"/>
      <c r="N25" s="389"/>
      <c r="O25" s="389"/>
      <c r="P25" s="389"/>
      <c r="Q25" s="389"/>
      <c r="R25" s="389"/>
      <c r="S25" s="389"/>
      <c r="T25" s="389"/>
      <c r="U25" s="389"/>
      <c r="V25" s="389"/>
      <c r="W25" s="389"/>
      <c r="X25" s="389"/>
      <c r="Y25" s="389"/>
      <c r="Z25" s="389"/>
      <c r="AA25" s="389"/>
    </row>
    <row r="26" spans="1:27" s="508" customFormat="1" ht="12.75" customHeight="1">
      <c r="A26" s="506" t="s">
        <v>4</v>
      </c>
      <c r="B26" s="518"/>
      <c r="C26" s="518"/>
      <c r="E26" s="519"/>
      <c r="F26" s="518"/>
      <c r="G26" s="518"/>
      <c r="H26" s="389"/>
      <c r="I26" s="514"/>
      <c r="N26" s="389"/>
      <c r="O26" s="389"/>
      <c r="P26" s="389"/>
      <c r="Q26" s="389"/>
      <c r="R26" s="389"/>
      <c r="S26" s="389"/>
      <c r="T26" s="389"/>
      <c r="U26" s="389"/>
      <c r="V26" s="389"/>
      <c r="W26" s="389"/>
      <c r="X26" s="389"/>
      <c r="Y26" s="389"/>
      <c r="Z26" s="389"/>
      <c r="AA26" s="389"/>
    </row>
    <row r="27" spans="1:27" s="508" customFormat="1" ht="25.5" customHeight="1">
      <c r="A27" s="530" t="s">
        <v>5</v>
      </c>
      <c r="B27" s="525">
        <f>SUM(B28:B41)</f>
        <v>66947190</v>
      </c>
      <c r="C27" s="525">
        <f>SUM(C28:C41)</f>
        <v>84652618</v>
      </c>
      <c r="D27" s="525">
        <f>+B27-C27</f>
        <v>-17705428</v>
      </c>
      <c r="E27" s="512">
        <f>+B27/C27-1</f>
        <v>-0.20915393307741525</v>
      </c>
      <c r="F27" s="525">
        <f>SUM(F28:F30)</f>
        <v>0</v>
      </c>
      <c r="G27" s="525">
        <f>SUM(G28:G30)</f>
        <v>0</v>
      </c>
      <c r="H27" s="389"/>
      <c r="I27" s="514"/>
      <c r="J27" s="531"/>
      <c r="N27" s="389"/>
      <c r="O27" s="389"/>
      <c r="P27" s="389"/>
      <c r="Q27" s="389"/>
      <c r="R27" s="389"/>
      <c r="S27" s="389"/>
      <c r="T27" s="389"/>
      <c r="U27" s="389"/>
      <c r="V27" s="389"/>
      <c r="W27" s="389"/>
      <c r="X27" s="389"/>
      <c r="Y27" s="389"/>
      <c r="Z27" s="389"/>
      <c r="AA27" s="389"/>
    </row>
    <row r="28" spans="1:27" s="508" customFormat="1" ht="15.75">
      <c r="A28" s="513" t="s">
        <v>6</v>
      </c>
      <c r="B28" s="514">
        <v>872190</v>
      </c>
      <c r="C28" s="514"/>
      <c r="D28" s="515">
        <f t="shared" ref="D28:D41" si="4">+B28-C28</f>
        <v>872190</v>
      </c>
      <c r="E28" s="516">
        <f t="shared" ref="E28:E41" si="5">IF(C28=0,0,D28/C28)</f>
        <v>0</v>
      </c>
      <c r="F28" s="518"/>
      <c r="G28" s="518"/>
      <c r="H28" s="389"/>
      <c r="I28" s="514"/>
      <c r="N28" s="389"/>
      <c r="O28" s="389"/>
      <c r="P28" s="389"/>
      <c r="Q28" s="389"/>
      <c r="R28" s="389"/>
      <c r="S28" s="389"/>
      <c r="T28" s="389"/>
      <c r="U28" s="389"/>
      <c r="V28" s="389"/>
      <c r="W28" s="389"/>
      <c r="X28" s="389"/>
      <c r="Y28" s="389"/>
      <c r="Z28" s="389"/>
      <c r="AA28" s="389"/>
    </row>
    <row r="29" spans="1:27" s="508" customFormat="1" ht="15.75">
      <c r="A29" s="513" t="s">
        <v>515</v>
      </c>
      <c r="B29" s="514">
        <v>2499000</v>
      </c>
      <c r="C29" s="514">
        <v>2844000</v>
      </c>
      <c r="D29" s="515">
        <f t="shared" si="4"/>
        <v>-345000</v>
      </c>
      <c r="E29" s="516">
        <f t="shared" si="5"/>
        <v>-0.12130801687763713</v>
      </c>
      <c r="F29" s="518"/>
      <c r="G29" s="518"/>
      <c r="H29" s="389"/>
      <c r="I29" s="514"/>
      <c r="N29" s="389"/>
      <c r="O29" s="389"/>
      <c r="P29" s="389"/>
      <c r="Q29" s="389"/>
      <c r="R29" s="389"/>
      <c r="S29" s="389"/>
      <c r="T29" s="389"/>
      <c r="U29" s="389"/>
      <c r="V29" s="389"/>
      <c r="W29" s="389"/>
      <c r="X29" s="389"/>
      <c r="Y29" s="389"/>
      <c r="Z29" s="389"/>
      <c r="AA29" s="389"/>
    </row>
    <row r="30" spans="1:27" s="508" customFormat="1" ht="15.75">
      <c r="A30" s="513" t="s">
        <v>81</v>
      </c>
      <c r="B30" s="514">
        <v>5029000</v>
      </c>
      <c r="C30" s="514">
        <v>4261000</v>
      </c>
      <c r="D30" s="515">
        <f t="shared" si="4"/>
        <v>768000</v>
      </c>
      <c r="E30" s="516">
        <f t="shared" si="5"/>
        <v>0.18023938042712978</v>
      </c>
      <c r="F30" s="518"/>
      <c r="G30" s="518"/>
      <c r="H30" s="389"/>
      <c r="I30" s="514"/>
      <c r="N30" s="389"/>
      <c r="O30" s="389"/>
      <c r="P30" s="389"/>
      <c r="Q30" s="389"/>
      <c r="R30" s="389"/>
      <c r="S30" s="389"/>
      <c r="T30" s="389"/>
      <c r="U30" s="389"/>
      <c r="V30" s="389"/>
      <c r="W30" s="389"/>
      <c r="X30" s="389"/>
      <c r="Y30" s="389"/>
      <c r="Z30" s="389"/>
      <c r="AA30" s="389"/>
    </row>
    <row r="31" spans="1:27" s="508" customFormat="1" ht="15.75">
      <c r="A31" s="513" t="str">
        <f>+[3]dic19!A39</f>
        <v>Asistente Administrativa</v>
      </c>
      <c r="B31" s="514">
        <v>1851519</v>
      </c>
      <c r="C31" s="514">
        <v>1851519</v>
      </c>
      <c r="D31" s="515">
        <f t="shared" si="4"/>
        <v>0</v>
      </c>
      <c r="E31" s="516">
        <f t="shared" si="5"/>
        <v>0</v>
      </c>
      <c r="F31" s="518"/>
      <c r="G31" s="518"/>
      <c r="H31" s="389"/>
      <c r="I31" s="514"/>
      <c r="N31" s="389"/>
      <c r="O31" s="389"/>
      <c r="P31" s="389"/>
      <c r="Q31" s="389"/>
      <c r="R31" s="389"/>
      <c r="S31" s="389"/>
      <c r="T31" s="389"/>
      <c r="U31" s="389"/>
      <c r="V31" s="389"/>
      <c r="W31" s="389"/>
      <c r="X31" s="389"/>
      <c r="Y31" s="389"/>
      <c r="Z31" s="389"/>
      <c r="AA31" s="389"/>
    </row>
    <row r="32" spans="1:27" s="508" customFormat="1" ht="15.75">
      <c r="A32" s="513" t="s">
        <v>83</v>
      </c>
      <c r="B32" s="514">
        <v>41918824</v>
      </c>
      <c r="C32" s="514">
        <v>41918824</v>
      </c>
      <c r="D32" s="515">
        <f t="shared" si="4"/>
        <v>0</v>
      </c>
      <c r="E32" s="516">
        <f t="shared" si="5"/>
        <v>0</v>
      </c>
      <c r="F32" s="518"/>
      <c r="G32" s="518"/>
      <c r="H32" s="389"/>
      <c r="I32" s="514"/>
      <c r="N32" s="389"/>
      <c r="O32" s="389"/>
      <c r="P32" s="389"/>
      <c r="Q32" s="389"/>
      <c r="R32" s="389"/>
      <c r="S32" s="389"/>
      <c r="T32" s="389"/>
      <c r="U32" s="389"/>
      <c r="V32" s="389"/>
      <c r="W32" s="389"/>
      <c r="X32" s="389"/>
      <c r="Y32" s="389"/>
      <c r="Z32" s="389"/>
      <c r="AA32" s="389"/>
    </row>
    <row r="33" spans="1:27" s="508" customFormat="1" ht="15.75">
      <c r="A33" s="513" t="s">
        <v>684</v>
      </c>
      <c r="B33" s="514">
        <f>7809723+210000</f>
        <v>8019723</v>
      </c>
      <c r="C33" s="514">
        <f>748629+7809723</f>
        <v>8558352</v>
      </c>
      <c r="D33" s="515">
        <f t="shared" si="4"/>
        <v>-538629</v>
      </c>
      <c r="E33" s="516">
        <f t="shared" si="5"/>
        <v>-6.2936065261162424E-2</v>
      </c>
      <c r="F33" s="518"/>
      <c r="G33" s="518"/>
      <c r="H33" s="389"/>
      <c r="I33" s="514"/>
      <c r="N33" s="389"/>
      <c r="O33" s="389"/>
      <c r="P33" s="389"/>
      <c r="Q33" s="389"/>
      <c r="R33" s="389"/>
      <c r="S33" s="389"/>
      <c r="T33" s="389"/>
      <c r="U33" s="389"/>
      <c r="V33" s="389"/>
      <c r="W33" s="389"/>
      <c r="X33" s="389"/>
      <c r="Y33" s="389"/>
      <c r="Z33" s="389"/>
      <c r="AA33" s="389"/>
    </row>
    <row r="34" spans="1:27" s="508" customFormat="1" ht="15.75">
      <c r="A34" s="513" t="s">
        <v>563</v>
      </c>
      <c r="B34" s="514"/>
      <c r="C34" s="514">
        <v>344655</v>
      </c>
      <c r="D34" s="515"/>
      <c r="E34" s="516"/>
      <c r="F34" s="518"/>
      <c r="G34" s="518"/>
      <c r="H34" s="389"/>
      <c r="I34" s="514"/>
      <c r="N34" s="389"/>
      <c r="O34" s="389"/>
      <c r="P34" s="389"/>
      <c r="Q34" s="389"/>
      <c r="R34" s="389"/>
      <c r="S34" s="389"/>
      <c r="T34" s="389"/>
      <c r="U34" s="389"/>
      <c r="V34" s="389"/>
      <c r="W34" s="389"/>
      <c r="X34" s="389"/>
      <c r="Y34" s="389"/>
      <c r="Z34" s="389"/>
      <c r="AA34" s="389"/>
    </row>
    <row r="35" spans="1:27" s="508" customFormat="1" ht="15.75">
      <c r="A35" s="513" t="s">
        <v>86</v>
      </c>
      <c r="B35" s="514">
        <v>1372269</v>
      </c>
      <c r="C35" s="514">
        <v>270588</v>
      </c>
      <c r="D35" s="515">
        <f t="shared" si="4"/>
        <v>1101681</v>
      </c>
      <c r="E35" s="516">
        <f t="shared" si="5"/>
        <v>4.0714333229854986</v>
      </c>
      <c r="F35" s="518"/>
      <c r="G35" s="518"/>
      <c r="H35" s="389"/>
      <c r="I35" s="514"/>
      <c r="N35" s="389"/>
      <c r="O35" s="389"/>
      <c r="P35" s="389"/>
      <c r="Q35" s="389"/>
      <c r="R35" s="389"/>
      <c r="S35" s="389"/>
      <c r="T35" s="389"/>
      <c r="U35" s="389"/>
      <c r="V35" s="389"/>
      <c r="W35" s="389"/>
      <c r="X35" s="389"/>
      <c r="Y35" s="389"/>
      <c r="Z35" s="389"/>
      <c r="AA35" s="389"/>
    </row>
    <row r="36" spans="1:27" s="508" customFormat="1" ht="15.75">
      <c r="A36" s="513" t="s">
        <v>177</v>
      </c>
      <c r="B36" s="514">
        <v>420000</v>
      </c>
      <c r="C36" s="514">
        <v>588000</v>
      </c>
      <c r="D36" s="515"/>
      <c r="E36" s="516"/>
      <c r="F36" s="518"/>
      <c r="G36" s="518"/>
      <c r="H36" s="389"/>
      <c r="I36" s="514"/>
      <c r="N36" s="389"/>
      <c r="O36" s="389"/>
      <c r="P36" s="389"/>
      <c r="Q36" s="389"/>
      <c r="R36" s="389"/>
      <c r="S36" s="389"/>
      <c r="T36" s="389"/>
      <c r="U36" s="389"/>
      <c r="V36" s="389"/>
      <c r="W36" s="389"/>
      <c r="X36" s="389"/>
      <c r="Y36" s="389"/>
      <c r="Z36" s="389"/>
      <c r="AA36" s="389"/>
    </row>
    <row r="37" spans="1:27" s="508" customFormat="1" ht="15.75">
      <c r="A37" s="513" t="str">
        <f>+[3]dic19!A46</f>
        <v>Mant locativos</v>
      </c>
      <c r="B37" s="514">
        <v>4100142</v>
      </c>
      <c r="C37" s="514">
        <f>5179400+595000</f>
        <v>5774400</v>
      </c>
      <c r="D37" s="515">
        <f t="shared" si="4"/>
        <v>-1674258</v>
      </c>
      <c r="E37" s="516">
        <f t="shared" si="5"/>
        <v>-0.2899449293433084</v>
      </c>
      <c r="F37" s="518"/>
      <c r="G37" s="518"/>
      <c r="H37" s="389"/>
      <c r="I37" s="514"/>
      <c r="N37" s="389"/>
      <c r="O37" s="389"/>
      <c r="P37" s="389"/>
      <c r="Q37" s="389"/>
      <c r="R37" s="389"/>
      <c r="S37" s="389"/>
      <c r="T37" s="389"/>
      <c r="U37" s="389"/>
      <c r="V37" s="389"/>
      <c r="W37" s="389"/>
      <c r="X37" s="389"/>
      <c r="Y37" s="389"/>
      <c r="Z37" s="389"/>
      <c r="AA37" s="389"/>
    </row>
    <row r="38" spans="1:27" s="508" customFormat="1" ht="15.75">
      <c r="A38" s="513" t="s">
        <v>177</v>
      </c>
      <c r="B38" s="514"/>
      <c r="C38" s="514"/>
      <c r="D38" s="515">
        <f t="shared" si="4"/>
        <v>0</v>
      </c>
      <c r="E38" s="516">
        <f t="shared" si="5"/>
        <v>0</v>
      </c>
      <c r="F38" s="518"/>
      <c r="G38" s="518"/>
      <c r="H38" s="389"/>
      <c r="I38" s="514"/>
      <c r="N38" s="389"/>
      <c r="O38" s="389"/>
      <c r="P38" s="389"/>
      <c r="Q38" s="389"/>
      <c r="R38" s="389"/>
      <c r="S38" s="389"/>
      <c r="T38" s="389"/>
      <c r="U38" s="389"/>
      <c r="V38" s="389"/>
      <c r="W38" s="389"/>
      <c r="X38" s="389"/>
      <c r="Y38" s="389"/>
      <c r="Z38" s="389"/>
      <c r="AA38" s="389"/>
    </row>
    <row r="39" spans="1:27" s="508" customFormat="1" ht="15.75">
      <c r="A39" s="513" t="s">
        <v>550</v>
      </c>
      <c r="B39" s="514"/>
      <c r="C39" s="514">
        <f>602117+2872760+14569214</f>
        <v>18044091</v>
      </c>
      <c r="D39" s="515">
        <f t="shared" si="4"/>
        <v>-18044091</v>
      </c>
      <c r="E39" s="516">
        <f t="shared" si="5"/>
        <v>-1</v>
      </c>
      <c r="F39" s="518"/>
      <c r="G39" s="518"/>
      <c r="H39" s="389"/>
      <c r="I39" s="514"/>
      <c r="N39" s="389"/>
      <c r="O39" s="389"/>
      <c r="P39" s="389"/>
      <c r="Q39" s="389"/>
      <c r="R39" s="389"/>
      <c r="S39" s="389"/>
      <c r="T39" s="389"/>
      <c r="U39" s="389"/>
      <c r="V39" s="389"/>
      <c r="W39" s="389"/>
      <c r="X39" s="389"/>
      <c r="Y39" s="389"/>
      <c r="Z39" s="389"/>
      <c r="AA39" s="389"/>
    </row>
    <row r="40" spans="1:27" s="508" customFormat="1" ht="15.75">
      <c r="A40" s="513" t="s">
        <v>551</v>
      </c>
      <c r="B40" s="515"/>
      <c r="C40" s="515"/>
      <c r="D40" s="515">
        <f t="shared" si="4"/>
        <v>0</v>
      </c>
      <c r="E40" s="516">
        <f t="shared" si="5"/>
        <v>0</v>
      </c>
      <c r="F40" s="518"/>
      <c r="G40" s="518"/>
      <c r="H40" s="389"/>
      <c r="I40" s="514"/>
      <c r="N40" s="389"/>
      <c r="O40" s="389"/>
      <c r="P40" s="389"/>
      <c r="Q40" s="389"/>
      <c r="R40" s="389"/>
      <c r="S40" s="389"/>
      <c r="T40" s="389"/>
      <c r="U40" s="389"/>
      <c r="V40" s="389"/>
      <c r="W40" s="389"/>
      <c r="X40" s="389"/>
      <c r="Y40" s="389"/>
      <c r="Z40" s="389"/>
      <c r="AA40" s="389"/>
    </row>
    <row r="41" spans="1:27" s="508" customFormat="1" ht="16.5" customHeight="1">
      <c r="A41" s="513" t="s">
        <v>82</v>
      </c>
      <c r="B41" s="514">
        <v>864523</v>
      </c>
      <c r="C41" s="514">
        <v>197189</v>
      </c>
      <c r="D41" s="515">
        <f t="shared" si="4"/>
        <v>667334</v>
      </c>
      <c r="E41" s="516">
        <f t="shared" si="5"/>
        <v>3.3842354289539478</v>
      </c>
      <c r="F41" s="518"/>
      <c r="G41" s="518"/>
      <c r="H41" s="389"/>
      <c r="I41" s="514"/>
      <c r="N41" s="389"/>
      <c r="O41" s="389"/>
      <c r="P41" s="389"/>
      <c r="Q41" s="389"/>
      <c r="R41" s="389"/>
      <c r="S41" s="389"/>
      <c r="T41" s="389"/>
      <c r="U41" s="389"/>
      <c r="V41" s="389"/>
      <c r="W41" s="389"/>
      <c r="X41" s="389"/>
      <c r="Y41" s="389"/>
      <c r="Z41" s="389"/>
      <c r="AA41" s="389"/>
    </row>
    <row r="42" spans="1:27" s="508" customFormat="1" ht="21.75" customHeight="1">
      <c r="A42" s="530" t="s">
        <v>88</v>
      </c>
      <c r="B42" s="525">
        <f>+B43</f>
        <v>5981230</v>
      </c>
      <c r="C42" s="525">
        <f>+C43</f>
        <v>6668420</v>
      </c>
      <c r="D42" s="525">
        <f>+B42-C42</f>
        <v>-687190</v>
      </c>
      <c r="E42" s="512">
        <f>+B42/C42-1</f>
        <v>-0.10305139748246206</v>
      </c>
      <c r="F42" s="525"/>
      <c r="G42" s="525"/>
      <c r="H42" s="389"/>
      <c r="I42" s="514"/>
      <c r="N42" s="389"/>
      <c r="O42" s="389"/>
      <c r="P42" s="389"/>
      <c r="Q42" s="389"/>
      <c r="R42" s="389"/>
      <c r="S42" s="389"/>
      <c r="T42" s="389"/>
      <c r="U42" s="389"/>
      <c r="V42" s="389"/>
      <c r="W42" s="389"/>
      <c r="X42" s="389"/>
      <c r="Y42" s="389"/>
      <c r="Z42" s="389"/>
      <c r="AA42" s="389"/>
    </row>
    <row r="43" spans="1:27" s="508" customFormat="1" ht="15.75">
      <c r="A43" s="513" t="s">
        <v>62</v>
      </c>
      <c r="B43" s="514">
        <v>5981230</v>
      </c>
      <c r="C43" s="514">
        <v>6668420</v>
      </c>
      <c r="D43" s="515">
        <f>+B43-C43</f>
        <v>-687190</v>
      </c>
      <c r="E43" s="516">
        <f>IF(C43=0,0,D43/C43)</f>
        <v>-0.10305139748246211</v>
      </c>
      <c r="F43" s="518"/>
      <c r="G43" s="518"/>
      <c r="H43" s="389"/>
      <c r="I43" s="514"/>
      <c r="N43" s="389"/>
      <c r="O43" s="389"/>
      <c r="P43" s="389"/>
      <c r="Q43" s="389"/>
      <c r="R43" s="389"/>
      <c r="S43" s="389"/>
      <c r="T43" s="389"/>
      <c r="U43" s="389"/>
      <c r="V43" s="389"/>
      <c r="W43" s="389"/>
      <c r="X43" s="389"/>
      <c r="Y43" s="389"/>
      <c r="Z43" s="389"/>
      <c r="AA43" s="389"/>
    </row>
    <row r="44" spans="1:27" s="508" customFormat="1" ht="24" customHeight="1">
      <c r="A44" s="530" t="s">
        <v>552</v>
      </c>
      <c r="B44" s="525">
        <f>SUM(B45:B45)</f>
        <v>155736</v>
      </c>
      <c r="C44" s="525">
        <f>SUM(C45:C45)</f>
        <v>155736</v>
      </c>
      <c r="D44" s="525">
        <f>SUM(D45:D45)</f>
        <v>0</v>
      </c>
      <c r="E44" s="512">
        <f>+B44/C44-1</f>
        <v>0</v>
      </c>
      <c r="F44" s="525" t="e">
        <f>SUM(#REF!)</f>
        <v>#REF!</v>
      </c>
      <c r="G44" s="525" t="e">
        <f>SUM(#REF!)</f>
        <v>#REF!</v>
      </c>
      <c r="H44" s="389"/>
      <c r="I44" s="514"/>
      <c r="N44" s="389"/>
      <c r="O44" s="389"/>
      <c r="P44" s="389"/>
      <c r="Q44" s="389"/>
      <c r="R44" s="389"/>
      <c r="S44" s="389"/>
      <c r="T44" s="389"/>
      <c r="U44" s="389"/>
      <c r="V44" s="389"/>
      <c r="W44" s="389"/>
      <c r="X44" s="389"/>
      <c r="Y44" s="389"/>
      <c r="Z44" s="389"/>
      <c r="AA44" s="389"/>
    </row>
    <row r="45" spans="1:27" s="508" customFormat="1" ht="15.75">
      <c r="A45" s="513" t="s">
        <v>553</v>
      </c>
      <c r="B45" s="514">
        <v>155736</v>
      </c>
      <c r="C45" s="514">
        <v>155736</v>
      </c>
      <c r="D45" s="515">
        <f>+B45-C45</f>
        <v>0</v>
      </c>
      <c r="E45" s="516">
        <f>IF(C45=0,0,D45/C45)</f>
        <v>0</v>
      </c>
      <c r="F45" s="518"/>
      <c r="G45" s="518"/>
      <c r="H45" s="389"/>
      <c r="I45" s="514"/>
      <c r="N45" s="389"/>
      <c r="O45" s="389"/>
      <c r="P45" s="389"/>
      <c r="Q45" s="389"/>
      <c r="R45" s="389"/>
      <c r="S45" s="389"/>
      <c r="T45" s="389"/>
      <c r="U45" s="389"/>
      <c r="V45" s="389"/>
      <c r="W45" s="389"/>
      <c r="X45" s="389"/>
      <c r="Y45" s="389"/>
      <c r="Z45" s="389"/>
      <c r="AA45" s="389"/>
    </row>
    <row r="46" spans="1:27" s="508" customFormat="1" ht="22.5" customHeight="1">
      <c r="A46" s="510" t="s">
        <v>7</v>
      </c>
      <c r="B46" s="536">
        <f>+B27+B42+B44</f>
        <v>73084156</v>
      </c>
      <c r="C46" s="536">
        <f>+C27+C42+C44</f>
        <v>91476774</v>
      </c>
      <c r="D46" s="536">
        <f>+D27+D42+D44</f>
        <v>-18392618</v>
      </c>
      <c r="E46" s="512">
        <f>+D46/C46</f>
        <v>-0.20106325568498951</v>
      </c>
      <c r="F46" s="536" t="e">
        <f>+F27+#REF!+F42+F44</f>
        <v>#REF!</v>
      </c>
      <c r="G46" s="536" t="e">
        <f>+G27+#REF!+G42+G44</f>
        <v>#REF!</v>
      </c>
      <c r="H46" s="389"/>
      <c r="I46" s="514"/>
      <c r="N46" s="389"/>
      <c r="O46" s="389"/>
      <c r="P46" s="389"/>
      <c r="Q46" s="389"/>
      <c r="R46" s="389"/>
      <c r="S46" s="389"/>
      <c r="T46" s="389"/>
      <c r="U46" s="389"/>
      <c r="V46" s="389"/>
      <c r="W46" s="389"/>
      <c r="X46" s="389"/>
      <c r="Y46" s="389"/>
      <c r="Z46" s="389"/>
      <c r="AA46" s="389"/>
    </row>
    <row r="47" spans="1:27" s="508" customFormat="1" ht="15.75">
      <c r="A47" s="513"/>
      <c r="B47" s="518"/>
      <c r="C47" s="518"/>
      <c r="D47" s="524"/>
      <c r="E47" s="519"/>
      <c r="F47" s="518"/>
      <c r="G47" s="518"/>
      <c r="H47" s="389"/>
      <c r="I47" s="514"/>
      <c r="N47" s="389"/>
      <c r="O47" s="389"/>
      <c r="P47" s="389"/>
      <c r="Q47" s="389"/>
      <c r="R47" s="389"/>
      <c r="S47" s="389"/>
      <c r="T47" s="389"/>
      <c r="U47" s="389"/>
      <c r="V47" s="389"/>
      <c r="W47" s="389"/>
      <c r="X47" s="389"/>
      <c r="Y47" s="389"/>
      <c r="Z47" s="389"/>
      <c r="AA47" s="389"/>
    </row>
    <row r="48" spans="1:27" s="508" customFormat="1" ht="27" customHeight="1">
      <c r="A48" s="509" t="s">
        <v>8</v>
      </c>
      <c r="B48" s="536">
        <f>SUM(B49:B56)</f>
        <v>176214754.44</v>
      </c>
      <c r="C48" s="536">
        <f>SUM(C49:C56)</f>
        <v>173930015</v>
      </c>
      <c r="D48" s="536">
        <f>SUM(D49:D56)</f>
        <v>2284739.4400000013</v>
      </c>
      <c r="E48" s="512">
        <f>+B48/C48-1</f>
        <v>1.3135969889958243E-2</v>
      </c>
      <c r="F48" s="536">
        <f>SUM(F49:F55)</f>
        <v>0</v>
      </c>
      <c r="G48" s="536">
        <f>SUM(G49:G55)</f>
        <v>0</v>
      </c>
      <c r="H48" s="389"/>
      <c r="I48" s="514"/>
      <c r="N48" s="389"/>
      <c r="O48" s="389"/>
      <c r="P48" s="389"/>
      <c r="Q48" s="389"/>
      <c r="R48" s="389"/>
      <c r="S48" s="389"/>
      <c r="T48" s="389"/>
      <c r="U48" s="389"/>
      <c r="V48" s="389"/>
      <c r="W48" s="389"/>
      <c r="X48" s="389"/>
      <c r="Y48" s="389"/>
      <c r="Z48" s="389"/>
      <c r="AA48" s="389"/>
    </row>
    <row r="49" spans="1:27" s="508" customFormat="1" ht="15.75">
      <c r="A49" s="513" t="s">
        <v>554</v>
      </c>
      <c r="B49" s="514">
        <v>20311097.440000001</v>
      </c>
      <c r="C49" s="514">
        <v>19498869</v>
      </c>
      <c r="D49" s="515">
        <f t="shared" ref="D49:D56" si="6">+B49-C49</f>
        <v>812228.44000000134</v>
      </c>
      <c r="E49" s="516">
        <f t="shared" ref="E49:E56" si="7">IF(C49=0,0,D49/C49)</f>
        <v>4.1655156511898273E-2</v>
      </c>
      <c r="F49" s="518"/>
      <c r="G49" s="518"/>
      <c r="H49" s="389"/>
      <c r="I49" s="514"/>
      <c r="N49" s="389"/>
      <c r="O49" s="389"/>
      <c r="P49" s="389"/>
      <c r="Q49" s="389"/>
      <c r="R49" s="389"/>
      <c r="S49" s="389"/>
      <c r="T49" s="389"/>
      <c r="U49" s="389"/>
      <c r="V49" s="389"/>
      <c r="W49" s="389"/>
      <c r="X49" s="389"/>
      <c r="Y49" s="389"/>
      <c r="Z49" s="389"/>
      <c r="AA49" s="389"/>
    </row>
    <row r="50" spans="1:27" s="508" customFormat="1" ht="15.75">
      <c r="A50" s="513" t="str">
        <f>+[3]dic19!A54</f>
        <v>Fondo para Mant Sótanos</v>
      </c>
      <c r="B50" s="514">
        <v>449702</v>
      </c>
      <c r="C50" s="514">
        <v>4093102</v>
      </c>
      <c r="D50" s="515">
        <f t="shared" si="6"/>
        <v>-3643400</v>
      </c>
      <c r="E50" s="516">
        <f t="shared" si="7"/>
        <v>-0.89013173871552675</v>
      </c>
      <c r="F50" s="518"/>
      <c r="G50" s="518"/>
      <c r="H50" s="601">
        <f>SUM(B50:B53)</f>
        <v>73064831</v>
      </c>
      <c r="I50" s="514"/>
      <c r="N50" s="389"/>
      <c r="O50" s="389"/>
      <c r="P50" s="389"/>
      <c r="Q50" s="389"/>
      <c r="R50" s="389"/>
      <c r="S50" s="389"/>
      <c r="T50" s="389"/>
      <c r="U50" s="389"/>
      <c r="V50" s="389"/>
      <c r="W50" s="389"/>
      <c r="X50" s="389"/>
      <c r="Y50" s="389"/>
      <c r="Z50" s="389"/>
      <c r="AA50" s="389"/>
    </row>
    <row r="51" spans="1:27" s="508" customFormat="1" ht="15.75">
      <c r="A51" s="513" t="s">
        <v>555</v>
      </c>
      <c r="B51" s="514">
        <v>26117141</v>
      </c>
      <c r="C51" s="514">
        <v>28041058</v>
      </c>
      <c r="D51" s="515">
        <f t="shared" si="6"/>
        <v>-1923917</v>
      </c>
      <c r="E51" s="516">
        <f t="shared" si="7"/>
        <v>-6.8610713618580302E-2</v>
      </c>
      <c r="F51" s="518"/>
      <c r="G51" s="518"/>
      <c r="H51" s="389"/>
      <c r="I51" s="514"/>
      <c r="N51" s="389"/>
      <c r="O51" s="389"/>
      <c r="P51" s="389"/>
      <c r="Q51" s="389"/>
      <c r="R51" s="389"/>
      <c r="S51" s="389"/>
      <c r="T51" s="389"/>
      <c r="U51" s="389"/>
      <c r="V51" s="389"/>
      <c r="W51" s="389"/>
      <c r="X51" s="389"/>
      <c r="Y51" s="389"/>
      <c r="Z51" s="389"/>
      <c r="AA51" s="389"/>
    </row>
    <row r="52" spans="1:27" s="508" customFormat="1" ht="15.75">
      <c r="A52" s="513" t="str">
        <f>+[3]dic19!A56</f>
        <v>Fondo para Remodelacion Recepcion</v>
      </c>
      <c r="B52" s="514">
        <v>17085623</v>
      </c>
      <c r="C52" s="514">
        <v>18735623</v>
      </c>
      <c r="D52" s="515">
        <f t="shared" si="6"/>
        <v>-1650000</v>
      </c>
      <c r="E52" s="516">
        <f t="shared" si="7"/>
        <v>-8.8067527831874076E-2</v>
      </c>
      <c r="F52" s="518"/>
      <c r="G52" s="518"/>
      <c r="H52" s="389"/>
      <c r="I52" s="514"/>
      <c r="N52" s="389"/>
      <c r="O52" s="389"/>
      <c r="P52" s="389"/>
      <c r="Q52" s="389"/>
      <c r="R52" s="389"/>
      <c r="S52" s="389"/>
      <c r="T52" s="389"/>
      <c r="U52" s="389"/>
      <c r="V52" s="389"/>
      <c r="W52" s="389"/>
      <c r="X52" s="389"/>
      <c r="Y52" s="389"/>
      <c r="Z52" s="389"/>
      <c r="AA52" s="389"/>
    </row>
    <row r="53" spans="1:27" s="508" customFormat="1" ht="15.75">
      <c r="A53" s="513" t="str">
        <f>+[3]dic19!A57</f>
        <v>Fondos con Destinacion Específica</v>
      </c>
      <c r="B53" s="514">
        <v>29412365</v>
      </c>
      <c r="C53" s="514">
        <v>31412365</v>
      </c>
      <c r="D53" s="515">
        <f t="shared" si="6"/>
        <v>-2000000</v>
      </c>
      <c r="E53" s="516">
        <f t="shared" si="7"/>
        <v>-6.3669195235697792E-2</v>
      </c>
      <c r="F53" s="518"/>
      <c r="G53" s="518"/>
      <c r="H53" s="389"/>
      <c r="I53" s="514"/>
      <c r="N53" s="389"/>
      <c r="O53" s="389"/>
      <c r="P53" s="389"/>
      <c r="Q53" s="389"/>
      <c r="R53" s="389"/>
      <c r="S53" s="389"/>
      <c r="T53" s="389"/>
      <c r="U53" s="389"/>
      <c r="V53" s="389"/>
      <c r="W53" s="389"/>
      <c r="X53" s="389"/>
      <c r="Y53" s="389"/>
      <c r="Z53" s="389"/>
      <c r="AA53" s="389"/>
    </row>
    <row r="54" spans="1:27" s="508" customFormat="1" ht="15.75">
      <c r="A54" s="513"/>
      <c r="B54" s="514"/>
      <c r="C54" s="514"/>
      <c r="D54" s="515"/>
      <c r="E54" s="516"/>
      <c r="F54" s="518"/>
      <c r="G54" s="518"/>
      <c r="H54" s="389"/>
      <c r="I54" s="514"/>
      <c r="N54" s="389"/>
      <c r="O54" s="389"/>
      <c r="P54" s="389"/>
      <c r="Q54" s="389"/>
      <c r="R54" s="389"/>
      <c r="S54" s="389"/>
      <c r="T54" s="389"/>
      <c r="U54" s="389"/>
      <c r="V54" s="389"/>
      <c r="W54" s="389"/>
      <c r="X54" s="389"/>
      <c r="Y54" s="389"/>
      <c r="Z54" s="389"/>
      <c r="AA54" s="389"/>
    </row>
    <row r="55" spans="1:27" s="508" customFormat="1" ht="15.75">
      <c r="A55" s="513" t="s">
        <v>556</v>
      </c>
      <c r="B55" s="514">
        <v>36376355</v>
      </c>
      <c r="C55" s="514">
        <v>25686527</v>
      </c>
      <c r="D55" s="515">
        <f t="shared" si="6"/>
        <v>10689828</v>
      </c>
      <c r="E55" s="516">
        <f t="shared" si="7"/>
        <v>0.41616478553134101</v>
      </c>
      <c r="F55" s="518"/>
      <c r="G55" s="518"/>
      <c r="H55" s="389"/>
      <c r="I55" s="514"/>
      <c r="N55" s="389"/>
      <c r="O55" s="389"/>
      <c r="P55" s="389"/>
      <c r="Q55" s="389"/>
      <c r="R55" s="389"/>
      <c r="S55" s="389"/>
      <c r="T55" s="389"/>
      <c r="U55" s="389"/>
      <c r="V55" s="389"/>
      <c r="W55" s="389"/>
      <c r="X55" s="389"/>
      <c r="Y55" s="389"/>
      <c r="Z55" s="389"/>
      <c r="AA55" s="389"/>
    </row>
    <row r="56" spans="1:27" s="508" customFormat="1" ht="15.75">
      <c r="A56" s="513" t="str">
        <f>+[3]dic19!A59</f>
        <v>Resultados ejercicios anteriores</v>
      </c>
      <c r="B56" s="514">
        <v>46462471</v>
      </c>
      <c r="C56" s="514">
        <v>46462471</v>
      </c>
      <c r="D56" s="515">
        <f t="shared" si="6"/>
        <v>0</v>
      </c>
      <c r="E56" s="516">
        <f t="shared" si="7"/>
        <v>0</v>
      </c>
      <c r="F56" s="518"/>
      <c r="G56" s="518"/>
      <c r="H56" s="389"/>
      <c r="I56" s="514"/>
      <c r="N56" s="389"/>
      <c r="O56" s="389"/>
      <c r="P56" s="389"/>
      <c r="Q56" s="389"/>
      <c r="R56" s="389"/>
      <c r="S56" s="389"/>
      <c r="T56" s="389"/>
      <c r="U56" s="389"/>
      <c r="V56" s="389"/>
      <c r="W56" s="389"/>
      <c r="X56" s="389"/>
      <c r="Y56" s="389"/>
      <c r="Z56" s="389"/>
      <c r="AA56" s="389"/>
    </row>
    <row r="57" spans="1:27" s="508" customFormat="1" ht="36.75" customHeight="1">
      <c r="A57" s="509" t="s">
        <v>9</v>
      </c>
      <c r="B57" s="536">
        <f>+B48+B46</f>
        <v>249298910.44</v>
      </c>
      <c r="C57" s="536">
        <f>+C48+C46</f>
        <v>265406789</v>
      </c>
      <c r="D57" s="536">
        <f>+D48+D46</f>
        <v>-16107878.559999999</v>
      </c>
      <c r="E57" s="512">
        <f>+B57/C57-1</f>
        <v>-6.0691283070381408E-2</v>
      </c>
      <c r="F57" s="536" t="e">
        <f>+F48+F46</f>
        <v>#REF!</v>
      </c>
      <c r="G57" s="536" t="e">
        <f>+G48+G46</f>
        <v>#REF!</v>
      </c>
      <c r="H57" s="389"/>
      <c r="I57" s="514"/>
      <c r="N57" s="389"/>
      <c r="O57" s="389"/>
      <c r="P57" s="389"/>
      <c r="Q57" s="389"/>
      <c r="R57" s="389"/>
      <c r="S57" s="389"/>
      <c r="T57" s="389"/>
      <c r="U57" s="389"/>
      <c r="V57" s="389"/>
      <c r="W57" s="389"/>
      <c r="X57" s="389"/>
      <c r="Y57" s="389"/>
      <c r="Z57" s="389"/>
      <c r="AA57" s="389"/>
    </row>
    <row r="58" spans="1:27" s="508" customFormat="1" ht="15.75">
      <c r="A58" s="513"/>
      <c r="B58" s="538">
        <f>+B24-B57</f>
        <v>1.0000050067901611E-2</v>
      </c>
      <c r="C58" s="538">
        <f>+C24-C57</f>
        <v>-9.0000152587890625E-2</v>
      </c>
      <c r="D58" s="538"/>
      <c r="F58" s="538"/>
      <c r="G58" s="538"/>
      <c r="H58" s="389"/>
      <c r="I58" s="514"/>
      <c r="N58" s="389"/>
      <c r="O58" s="389"/>
      <c r="P58" s="389"/>
      <c r="Q58" s="389"/>
      <c r="R58" s="389"/>
      <c r="S58" s="389"/>
      <c r="T58" s="389"/>
      <c r="U58" s="389"/>
      <c r="V58" s="389"/>
      <c r="W58" s="389"/>
      <c r="X58" s="389"/>
      <c r="Y58" s="389"/>
      <c r="Z58" s="389"/>
      <c r="AA58" s="389"/>
    </row>
    <row r="59" spans="1:27" s="508" customFormat="1" ht="4.5" customHeight="1">
      <c r="B59" s="539"/>
      <c r="C59" s="539"/>
      <c r="D59" s="540"/>
      <c r="F59" s="540"/>
      <c r="G59" s="540"/>
      <c r="H59" s="389"/>
      <c r="I59" s="514"/>
      <c r="N59" s="389"/>
      <c r="O59" s="389"/>
      <c r="P59" s="389"/>
      <c r="Q59" s="389"/>
      <c r="R59" s="389"/>
      <c r="S59" s="389"/>
      <c r="T59" s="389"/>
      <c r="U59" s="389"/>
      <c r="V59" s="389"/>
      <c r="W59" s="389"/>
      <c r="X59" s="389"/>
      <c r="Y59" s="389"/>
      <c r="Z59" s="389"/>
      <c r="AA59" s="389"/>
    </row>
    <row r="60" spans="1:27" s="508" customFormat="1" ht="15.75" hidden="1">
      <c r="B60" s="539"/>
      <c r="C60" s="539"/>
      <c r="H60" s="389"/>
      <c r="I60" s="514"/>
      <c r="N60" s="389"/>
      <c r="O60" s="389"/>
      <c r="P60" s="389"/>
      <c r="Q60" s="389"/>
      <c r="R60" s="389"/>
      <c r="S60" s="389"/>
      <c r="T60" s="389"/>
      <c r="U60" s="389"/>
      <c r="V60" s="389"/>
      <c r="W60" s="389"/>
      <c r="X60" s="389"/>
      <c r="Y60" s="389"/>
      <c r="Z60" s="389"/>
      <c r="AA60" s="389"/>
    </row>
    <row r="61" spans="1:27" s="508" customFormat="1" ht="15.75" hidden="1">
      <c r="A61" s="500"/>
      <c r="B61" s="500"/>
      <c r="C61" s="500"/>
      <c r="D61" s="500"/>
      <c r="H61" s="389"/>
      <c r="I61" s="514"/>
      <c r="N61" s="389"/>
      <c r="O61" s="389"/>
      <c r="P61" s="389"/>
      <c r="Q61" s="389"/>
      <c r="R61" s="389"/>
      <c r="S61" s="389"/>
      <c r="T61" s="389"/>
      <c r="U61" s="389"/>
      <c r="V61" s="389"/>
      <c r="W61" s="389"/>
      <c r="X61" s="389"/>
      <c r="Y61" s="389"/>
      <c r="Z61" s="389"/>
      <c r="AA61" s="389"/>
    </row>
    <row r="62" spans="1:27" s="508" customFormat="1" ht="15.75">
      <c r="A62" s="500"/>
      <c r="B62" s="500"/>
      <c r="C62" s="500"/>
      <c r="D62" s="500"/>
      <c r="H62" s="389"/>
      <c r="I62" s="514"/>
      <c r="N62" s="389"/>
      <c r="O62" s="389"/>
      <c r="P62" s="389"/>
      <c r="Q62" s="389"/>
      <c r="R62" s="389"/>
      <c r="S62" s="389"/>
      <c r="T62" s="389"/>
      <c r="U62" s="389"/>
      <c r="V62" s="389"/>
      <c r="W62" s="389"/>
      <c r="X62" s="389"/>
      <c r="Y62" s="389"/>
      <c r="Z62" s="389"/>
      <c r="AA62" s="389"/>
    </row>
    <row r="63" spans="1:27" s="508" customFormat="1" ht="15.75">
      <c r="B63" s="539"/>
      <c r="C63" s="539"/>
      <c r="H63" s="389"/>
      <c r="I63" s="514"/>
      <c r="N63" s="389"/>
      <c r="O63" s="389"/>
      <c r="P63" s="389"/>
      <c r="Q63" s="389"/>
      <c r="R63" s="389"/>
      <c r="S63" s="389"/>
      <c r="T63" s="389"/>
      <c r="U63" s="389"/>
      <c r="V63" s="389"/>
      <c r="W63" s="389"/>
      <c r="X63" s="389"/>
      <c r="Y63" s="389"/>
      <c r="Z63" s="389"/>
      <c r="AA63" s="389"/>
    </row>
    <row r="64" spans="1:27" s="508" customFormat="1" ht="15.75">
      <c r="A64" s="508" t="s">
        <v>367</v>
      </c>
      <c r="B64" s="508" t="s">
        <v>557</v>
      </c>
      <c r="D64" s="74" t="s">
        <v>157</v>
      </c>
      <c r="H64" s="389"/>
      <c r="I64" s="514"/>
      <c r="N64" s="389"/>
      <c r="O64" s="389"/>
      <c r="P64" s="389"/>
      <c r="Q64" s="389"/>
      <c r="R64" s="389"/>
      <c r="S64" s="389"/>
      <c r="T64" s="389"/>
      <c r="U64" s="389"/>
      <c r="V64" s="389"/>
      <c r="W64" s="389"/>
      <c r="X64" s="389"/>
      <c r="Y64" s="389"/>
      <c r="Z64" s="389"/>
      <c r="AA64" s="389"/>
    </row>
    <row r="65" spans="1:27" s="508" customFormat="1" ht="15.75">
      <c r="A65" s="508" t="s">
        <v>559</v>
      </c>
      <c r="B65" s="508" t="s">
        <v>95</v>
      </c>
      <c r="D65" s="74" t="s">
        <v>96</v>
      </c>
      <c r="H65" s="389"/>
      <c r="I65" s="514"/>
      <c r="N65" s="389"/>
      <c r="O65" s="389"/>
      <c r="P65" s="389"/>
      <c r="Q65" s="389"/>
      <c r="R65" s="389"/>
      <c r="S65" s="389"/>
      <c r="T65" s="389"/>
      <c r="U65" s="389"/>
      <c r="V65" s="389"/>
      <c r="W65" s="389"/>
      <c r="X65" s="389"/>
      <c r="Y65" s="389"/>
      <c r="Z65" s="389"/>
      <c r="AA65" s="389"/>
    </row>
    <row r="66" spans="1:27" s="508" customFormat="1" ht="15.75">
      <c r="A66" s="508" t="s">
        <v>560</v>
      </c>
      <c r="B66" s="508" t="s">
        <v>561</v>
      </c>
      <c r="D66" s="508" t="s">
        <v>685</v>
      </c>
      <c r="F66" s="535"/>
      <c r="G66" s="535"/>
      <c r="H66" s="389"/>
      <c r="I66" s="514"/>
      <c r="N66" s="389"/>
      <c r="O66" s="389"/>
      <c r="P66" s="389"/>
      <c r="Q66" s="389"/>
      <c r="R66" s="389"/>
      <c r="S66" s="389"/>
      <c r="T66" s="389"/>
      <c r="U66" s="389"/>
      <c r="V66" s="389"/>
      <c r="W66" s="389"/>
      <c r="X66" s="389"/>
      <c r="Y66" s="389"/>
      <c r="Z66" s="389"/>
      <c r="AA66" s="389"/>
    </row>
    <row r="67" spans="1:27" ht="15.75">
      <c r="H67" s="389"/>
      <c r="I67" s="514"/>
      <c r="N67" s="389"/>
      <c r="O67" s="389"/>
      <c r="P67" s="389"/>
      <c r="Q67" s="389"/>
      <c r="R67" s="389"/>
      <c r="S67" s="389"/>
      <c r="T67" s="389"/>
      <c r="U67" s="389"/>
      <c r="V67" s="389"/>
      <c r="W67" s="389"/>
      <c r="X67" s="389"/>
      <c r="Y67" s="389"/>
      <c r="Z67" s="389"/>
      <c r="AA67" s="389"/>
    </row>
    <row r="68" spans="1:27" ht="15.75">
      <c r="H68" s="389"/>
      <c r="I68" s="514"/>
      <c r="N68" s="389"/>
      <c r="O68" s="389"/>
      <c r="P68" s="389"/>
      <c r="Q68" s="389"/>
      <c r="R68" s="389"/>
      <c r="S68" s="389"/>
      <c r="T68" s="389"/>
      <c r="U68" s="389"/>
      <c r="V68" s="389"/>
      <c r="W68" s="389"/>
      <c r="X68" s="389"/>
      <c r="Y68" s="389"/>
      <c r="Z68" s="389"/>
      <c r="AA68" s="389"/>
    </row>
    <row r="69" spans="1:27" ht="15.75">
      <c r="H69" s="389"/>
      <c r="I69" s="514"/>
      <c r="N69" s="389"/>
      <c r="O69" s="389"/>
      <c r="P69" s="389"/>
      <c r="Q69" s="389"/>
      <c r="R69" s="389"/>
      <c r="S69" s="389"/>
      <c r="T69" s="389"/>
      <c r="U69" s="389"/>
      <c r="V69" s="389"/>
      <c r="W69" s="389"/>
      <c r="X69" s="389"/>
      <c r="Y69" s="389"/>
      <c r="Z69" s="389"/>
      <c r="AA69" s="389"/>
    </row>
    <row r="70" spans="1:27" ht="15.75">
      <c r="H70" s="389"/>
      <c r="I70" s="514"/>
      <c r="N70" s="389"/>
      <c r="O70" s="389"/>
      <c r="P70" s="389"/>
      <c r="Q70" s="389"/>
      <c r="R70" s="389"/>
      <c r="S70" s="389"/>
      <c r="T70" s="389"/>
      <c r="U70" s="389"/>
      <c r="V70" s="389"/>
      <c r="W70" s="389"/>
      <c r="X70" s="389"/>
      <c r="Y70" s="389"/>
      <c r="Z70" s="389"/>
      <c r="AA70" s="389"/>
    </row>
    <row r="71" spans="1:27">
      <c r="H71" s="514"/>
      <c r="I71" s="514"/>
      <c r="N71" s="514"/>
      <c r="O71" s="514"/>
      <c r="P71" s="514"/>
      <c r="Q71" s="514"/>
      <c r="R71" s="514"/>
      <c r="S71" s="514"/>
      <c r="T71" s="514"/>
      <c r="U71" s="514"/>
      <c r="V71" s="514"/>
      <c r="W71" s="514"/>
      <c r="X71" s="514"/>
      <c r="Y71" s="514"/>
      <c r="Z71" s="514"/>
      <c r="AA71" s="514"/>
    </row>
    <row r="72" spans="1:27">
      <c r="H72" s="514"/>
      <c r="N72" s="514"/>
      <c r="O72" s="514"/>
      <c r="P72" s="514"/>
      <c r="Q72" s="514"/>
      <c r="R72" s="514"/>
      <c r="S72" s="514"/>
      <c r="T72" s="514"/>
      <c r="U72" s="514"/>
      <c r="V72" s="514"/>
      <c r="W72" s="514"/>
      <c r="X72" s="514"/>
      <c r="Y72" s="514"/>
      <c r="Z72" s="514"/>
      <c r="AA72" s="514"/>
    </row>
    <row r="78" spans="1:27">
      <c r="B78" s="541"/>
      <c r="C78" s="541"/>
    </row>
    <row r="79" spans="1:27">
      <c r="B79" s="542"/>
      <c r="C79" s="542"/>
    </row>
  </sheetData>
  <mergeCells count="2">
    <mergeCell ref="A3:E3"/>
    <mergeCell ref="A4:E4"/>
  </mergeCells>
  <printOptions horizontalCentered="1" verticalCentered="1"/>
  <pageMargins left="0.70866141732283472" right="0.70866141732283472" top="0.74803149606299213" bottom="0.74803149606299213" header="0.31496062992125984" footer="0.31496062992125984"/>
  <pageSetup scale="65" orientation="portrait" horizontalDpi="4294967294" verticalDpi="144"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9"/>
  <sheetViews>
    <sheetView zoomScaleNormal="100" workbookViewId="0">
      <pane xSplit="2" ySplit="6" topLeftCell="C44" activePane="bottomRight" state="frozen"/>
      <selection pane="topRight" activeCell="D1" sqref="D1"/>
      <selection pane="bottomLeft" activeCell="A7" sqref="A7"/>
      <selection pane="bottomRight" activeCell="C49" sqref="C49:C56"/>
    </sheetView>
  </sheetViews>
  <sheetFormatPr baseColWidth="10" defaultRowHeight="12.75"/>
  <cols>
    <col min="1" max="1" width="37" style="500" customWidth="1"/>
    <col min="2" max="3" width="17.140625" style="500" customWidth="1"/>
    <col min="4" max="4" width="17.85546875" style="500" customWidth="1"/>
    <col min="5" max="5" width="7.42578125" style="500" customWidth="1"/>
    <col min="6" max="7" width="0" style="500" hidden="1" customWidth="1"/>
    <col min="8" max="8" width="48.85546875" style="500" customWidth="1"/>
    <col min="9" max="9" width="31.28515625" style="500" customWidth="1"/>
    <col min="10" max="10" width="12.28515625" style="500" hidden="1" customWidth="1"/>
    <col min="11" max="11" width="13.140625" style="500" hidden="1" customWidth="1"/>
    <col min="12" max="13" width="11.42578125" style="500" hidden="1" customWidth="1"/>
    <col min="14" max="14" width="49" style="500" hidden="1" customWidth="1"/>
    <col min="15" max="27" width="49" style="500" customWidth="1"/>
    <col min="28" max="255" width="11.42578125" style="500"/>
    <col min="256" max="256" width="37" style="500" customWidth="1"/>
    <col min="257" max="257" width="7.28515625" style="500" bestFit="1" customWidth="1"/>
    <col min="258" max="259" width="17.140625" style="500" customWidth="1"/>
    <col min="260" max="260" width="17.85546875" style="500" customWidth="1"/>
    <col min="261" max="261" width="7.42578125" style="500" customWidth="1"/>
    <col min="262" max="263" width="0" style="500" hidden="1" customWidth="1"/>
    <col min="264" max="264" width="49" style="500" customWidth="1"/>
    <col min="265" max="265" width="31.28515625" style="500" customWidth="1"/>
    <col min="266" max="266" width="12.28515625" style="500" bestFit="1" customWidth="1"/>
    <col min="267" max="511" width="11.42578125" style="500"/>
    <col min="512" max="512" width="37" style="500" customWidth="1"/>
    <col min="513" max="513" width="7.28515625" style="500" bestFit="1" customWidth="1"/>
    <col min="514" max="515" width="17.140625" style="500" customWidth="1"/>
    <col min="516" max="516" width="17.85546875" style="500" customWidth="1"/>
    <col min="517" max="517" width="7.42578125" style="500" customWidth="1"/>
    <col min="518" max="519" width="0" style="500" hidden="1" customWidth="1"/>
    <col min="520" max="520" width="49" style="500" customWidth="1"/>
    <col min="521" max="521" width="31.28515625" style="500" customWidth="1"/>
    <col min="522" max="522" width="12.28515625" style="500" bestFit="1" customWidth="1"/>
    <col min="523" max="767" width="11.42578125" style="500"/>
    <col min="768" max="768" width="37" style="500" customWidth="1"/>
    <col min="769" max="769" width="7.28515625" style="500" bestFit="1" customWidth="1"/>
    <col min="770" max="771" width="17.140625" style="500" customWidth="1"/>
    <col min="772" max="772" width="17.85546875" style="500" customWidth="1"/>
    <col min="773" max="773" width="7.42578125" style="500" customWidth="1"/>
    <col min="774" max="775" width="0" style="500" hidden="1" customWidth="1"/>
    <col min="776" max="776" width="49" style="500" customWidth="1"/>
    <col min="777" max="777" width="31.28515625" style="500" customWidth="1"/>
    <col min="778" max="778" width="12.28515625" style="500" bestFit="1" customWidth="1"/>
    <col min="779" max="1023" width="11.42578125" style="500"/>
    <col min="1024" max="1024" width="37" style="500" customWidth="1"/>
    <col min="1025" max="1025" width="7.28515625" style="500" bestFit="1" customWidth="1"/>
    <col min="1026" max="1027" width="17.140625" style="500" customWidth="1"/>
    <col min="1028" max="1028" width="17.85546875" style="500" customWidth="1"/>
    <col min="1029" max="1029" width="7.42578125" style="500" customWidth="1"/>
    <col min="1030" max="1031" width="0" style="500" hidden="1" customWidth="1"/>
    <col min="1032" max="1032" width="49" style="500" customWidth="1"/>
    <col min="1033" max="1033" width="31.28515625" style="500" customWidth="1"/>
    <col min="1034" max="1034" width="12.28515625" style="500" bestFit="1" customWidth="1"/>
    <col min="1035" max="1279" width="11.42578125" style="500"/>
    <col min="1280" max="1280" width="37" style="500" customWidth="1"/>
    <col min="1281" max="1281" width="7.28515625" style="500" bestFit="1" customWidth="1"/>
    <col min="1282" max="1283" width="17.140625" style="500" customWidth="1"/>
    <col min="1284" max="1284" width="17.85546875" style="500" customWidth="1"/>
    <col min="1285" max="1285" width="7.42578125" style="500" customWidth="1"/>
    <col min="1286" max="1287" width="0" style="500" hidden="1" customWidth="1"/>
    <col min="1288" max="1288" width="49" style="500" customWidth="1"/>
    <col min="1289" max="1289" width="31.28515625" style="500" customWidth="1"/>
    <col min="1290" max="1290" width="12.28515625" style="500" bestFit="1" customWidth="1"/>
    <col min="1291" max="1535" width="11.42578125" style="500"/>
    <col min="1536" max="1536" width="37" style="500" customWidth="1"/>
    <col min="1537" max="1537" width="7.28515625" style="500" bestFit="1" customWidth="1"/>
    <col min="1538" max="1539" width="17.140625" style="500" customWidth="1"/>
    <col min="1540" max="1540" width="17.85546875" style="500" customWidth="1"/>
    <col min="1541" max="1541" width="7.42578125" style="500" customWidth="1"/>
    <col min="1542" max="1543" width="0" style="500" hidden="1" customWidth="1"/>
    <col min="1544" max="1544" width="49" style="500" customWidth="1"/>
    <col min="1545" max="1545" width="31.28515625" style="500" customWidth="1"/>
    <col min="1546" max="1546" width="12.28515625" style="500" bestFit="1" customWidth="1"/>
    <col min="1547" max="1791" width="11.42578125" style="500"/>
    <col min="1792" max="1792" width="37" style="500" customWidth="1"/>
    <col min="1793" max="1793" width="7.28515625" style="500" bestFit="1" customWidth="1"/>
    <col min="1794" max="1795" width="17.140625" style="500" customWidth="1"/>
    <col min="1796" max="1796" width="17.85546875" style="500" customWidth="1"/>
    <col min="1797" max="1797" width="7.42578125" style="500" customWidth="1"/>
    <col min="1798" max="1799" width="0" style="500" hidden="1" customWidth="1"/>
    <col min="1800" max="1800" width="49" style="500" customWidth="1"/>
    <col min="1801" max="1801" width="31.28515625" style="500" customWidth="1"/>
    <col min="1802" max="1802" width="12.28515625" style="500" bestFit="1" customWidth="1"/>
    <col min="1803" max="2047" width="11.42578125" style="500"/>
    <col min="2048" max="2048" width="37" style="500" customWidth="1"/>
    <col min="2049" max="2049" width="7.28515625" style="500" bestFit="1" customWidth="1"/>
    <col min="2050" max="2051" width="17.140625" style="500" customWidth="1"/>
    <col min="2052" max="2052" width="17.85546875" style="500" customWidth="1"/>
    <col min="2053" max="2053" width="7.42578125" style="500" customWidth="1"/>
    <col min="2054" max="2055" width="0" style="500" hidden="1" customWidth="1"/>
    <col min="2056" max="2056" width="49" style="500" customWidth="1"/>
    <col min="2057" max="2057" width="31.28515625" style="500" customWidth="1"/>
    <col min="2058" max="2058" width="12.28515625" style="500" bestFit="1" customWidth="1"/>
    <col min="2059" max="2303" width="11.42578125" style="500"/>
    <col min="2304" max="2304" width="37" style="500" customWidth="1"/>
    <col min="2305" max="2305" width="7.28515625" style="500" bestFit="1" customWidth="1"/>
    <col min="2306" max="2307" width="17.140625" style="500" customWidth="1"/>
    <col min="2308" max="2308" width="17.85546875" style="500" customWidth="1"/>
    <col min="2309" max="2309" width="7.42578125" style="500" customWidth="1"/>
    <col min="2310" max="2311" width="0" style="500" hidden="1" customWidth="1"/>
    <col min="2312" max="2312" width="49" style="500" customWidth="1"/>
    <col min="2313" max="2313" width="31.28515625" style="500" customWidth="1"/>
    <col min="2314" max="2314" width="12.28515625" style="500" bestFit="1" customWidth="1"/>
    <col min="2315" max="2559" width="11.42578125" style="500"/>
    <col min="2560" max="2560" width="37" style="500" customWidth="1"/>
    <col min="2561" max="2561" width="7.28515625" style="500" bestFit="1" customWidth="1"/>
    <col min="2562" max="2563" width="17.140625" style="500" customWidth="1"/>
    <col min="2564" max="2564" width="17.85546875" style="500" customWidth="1"/>
    <col min="2565" max="2565" width="7.42578125" style="500" customWidth="1"/>
    <col min="2566" max="2567" width="0" style="500" hidden="1" customWidth="1"/>
    <col min="2568" max="2568" width="49" style="500" customWidth="1"/>
    <col min="2569" max="2569" width="31.28515625" style="500" customWidth="1"/>
    <col min="2570" max="2570" width="12.28515625" style="500" bestFit="1" customWidth="1"/>
    <col min="2571" max="2815" width="11.42578125" style="500"/>
    <col min="2816" max="2816" width="37" style="500" customWidth="1"/>
    <col min="2817" max="2817" width="7.28515625" style="500" bestFit="1" customWidth="1"/>
    <col min="2818" max="2819" width="17.140625" style="500" customWidth="1"/>
    <col min="2820" max="2820" width="17.85546875" style="500" customWidth="1"/>
    <col min="2821" max="2821" width="7.42578125" style="500" customWidth="1"/>
    <col min="2822" max="2823" width="0" style="500" hidden="1" customWidth="1"/>
    <col min="2824" max="2824" width="49" style="500" customWidth="1"/>
    <col min="2825" max="2825" width="31.28515625" style="500" customWidth="1"/>
    <col min="2826" max="2826" width="12.28515625" style="500" bestFit="1" customWidth="1"/>
    <col min="2827" max="3071" width="11.42578125" style="500"/>
    <col min="3072" max="3072" width="37" style="500" customWidth="1"/>
    <col min="3073" max="3073" width="7.28515625" style="500" bestFit="1" customWidth="1"/>
    <col min="3074" max="3075" width="17.140625" style="500" customWidth="1"/>
    <col min="3076" max="3076" width="17.85546875" style="500" customWidth="1"/>
    <col min="3077" max="3077" width="7.42578125" style="500" customWidth="1"/>
    <col min="3078" max="3079" width="0" style="500" hidden="1" customWidth="1"/>
    <col min="3080" max="3080" width="49" style="500" customWidth="1"/>
    <col min="3081" max="3081" width="31.28515625" style="500" customWidth="1"/>
    <col min="3082" max="3082" width="12.28515625" style="500" bestFit="1" customWidth="1"/>
    <col min="3083" max="3327" width="11.42578125" style="500"/>
    <col min="3328" max="3328" width="37" style="500" customWidth="1"/>
    <col min="3329" max="3329" width="7.28515625" style="500" bestFit="1" customWidth="1"/>
    <col min="3330" max="3331" width="17.140625" style="500" customWidth="1"/>
    <col min="3332" max="3332" width="17.85546875" style="500" customWidth="1"/>
    <col min="3333" max="3333" width="7.42578125" style="500" customWidth="1"/>
    <col min="3334" max="3335" width="0" style="500" hidden="1" customWidth="1"/>
    <col min="3336" max="3336" width="49" style="500" customWidth="1"/>
    <col min="3337" max="3337" width="31.28515625" style="500" customWidth="1"/>
    <col min="3338" max="3338" width="12.28515625" style="500" bestFit="1" customWidth="1"/>
    <col min="3339" max="3583" width="11.42578125" style="500"/>
    <col min="3584" max="3584" width="37" style="500" customWidth="1"/>
    <col min="3585" max="3585" width="7.28515625" style="500" bestFit="1" customWidth="1"/>
    <col min="3586" max="3587" width="17.140625" style="500" customWidth="1"/>
    <col min="3588" max="3588" width="17.85546875" style="500" customWidth="1"/>
    <col min="3589" max="3589" width="7.42578125" style="500" customWidth="1"/>
    <col min="3590" max="3591" width="0" style="500" hidden="1" customWidth="1"/>
    <col min="3592" max="3592" width="49" style="500" customWidth="1"/>
    <col min="3593" max="3593" width="31.28515625" style="500" customWidth="1"/>
    <col min="3594" max="3594" width="12.28515625" style="500" bestFit="1" customWidth="1"/>
    <col min="3595" max="3839" width="11.42578125" style="500"/>
    <col min="3840" max="3840" width="37" style="500" customWidth="1"/>
    <col min="3841" max="3841" width="7.28515625" style="500" bestFit="1" customWidth="1"/>
    <col min="3842" max="3843" width="17.140625" style="500" customWidth="1"/>
    <col min="3844" max="3844" width="17.85546875" style="500" customWidth="1"/>
    <col min="3845" max="3845" width="7.42578125" style="500" customWidth="1"/>
    <col min="3846" max="3847" width="0" style="500" hidden="1" customWidth="1"/>
    <col min="3848" max="3848" width="49" style="500" customWidth="1"/>
    <col min="3849" max="3849" width="31.28515625" style="500" customWidth="1"/>
    <col min="3850" max="3850" width="12.28515625" style="500" bestFit="1" customWidth="1"/>
    <col min="3851" max="4095" width="11.42578125" style="500"/>
    <col min="4096" max="4096" width="37" style="500" customWidth="1"/>
    <col min="4097" max="4097" width="7.28515625" style="500" bestFit="1" customWidth="1"/>
    <col min="4098" max="4099" width="17.140625" style="500" customWidth="1"/>
    <col min="4100" max="4100" width="17.85546875" style="500" customWidth="1"/>
    <col min="4101" max="4101" width="7.42578125" style="500" customWidth="1"/>
    <col min="4102" max="4103" width="0" style="500" hidden="1" customWidth="1"/>
    <col min="4104" max="4104" width="49" style="500" customWidth="1"/>
    <col min="4105" max="4105" width="31.28515625" style="500" customWidth="1"/>
    <col min="4106" max="4106" width="12.28515625" style="500" bestFit="1" customWidth="1"/>
    <col min="4107" max="4351" width="11.42578125" style="500"/>
    <col min="4352" max="4352" width="37" style="500" customWidth="1"/>
    <col min="4353" max="4353" width="7.28515625" style="500" bestFit="1" customWidth="1"/>
    <col min="4354" max="4355" width="17.140625" style="500" customWidth="1"/>
    <col min="4356" max="4356" width="17.85546875" style="500" customWidth="1"/>
    <col min="4357" max="4357" width="7.42578125" style="500" customWidth="1"/>
    <col min="4358" max="4359" width="0" style="500" hidden="1" customWidth="1"/>
    <col min="4360" max="4360" width="49" style="500" customWidth="1"/>
    <col min="4361" max="4361" width="31.28515625" style="500" customWidth="1"/>
    <col min="4362" max="4362" width="12.28515625" style="500" bestFit="1" customWidth="1"/>
    <col min="4363" max="4607" width="11.42578125" style="500"/>
    <col min="4608" max="4608" width="37" style="500" customWidth="1"/>
    <col min="4609" max="4609" width="7.28515625" style="500" bestFit="1" customWidth="1"/>
    <col min="4610" max="4611" width="17.140625" style="500" customWidth="1"/>
    <col min="4612" max="4612" width="17.85546875" style="500" customWidth="1"/>
    <col min="4613" max="4613" width="7.42578125" style="500" customWidth="1"/>
    <col min="4614" max="4615" width="0" style="500" hidden="1" customWidth="1"/>
    <col min="4616" max="4616" width="49" style="500" customWidth="1"/>
    <col min="4617" max="4617" width="31.28515625" style="500" customWidth="1"/>
    <col min="4618" max="4618" width="12.28515625" style="500" bestFit="1" customWidth="1"/>
    <col min="4619" max="4863" width="11.42578125" style="500"/>
    <col min="4864" max="4864" width="37" style="500" customWidth="1"/>
    <col min="4865" max="4865" width="7.28515625" style="500" bestFit="1" customWidth="1"/>
    <col min="4866" max="4867" width="17.140625" style="500" customWidth="1"/>
    <col min="4868" max="4868" width="17.85546875" style="500" customWidth="1"/>
    <col min="4869" max="4869" width="7.42578125" style="500" customWidth="1"/>
    <col min="4870" max="4871" width="0" style="500" hidden="1" customWidth="1"/>
    <col min="4872" max="4872" width="49" style="500" customWidth="1"/>
    <col min="4873" max="4873" width="31.28515625" style="500" customWidth="1"/>
    <col min="4874" max="4874" width="12.28515625" style="500" bestFit="1" customWidth="1"/>
    <col min="4875" max="5119" width="11.42578125" style="500"/>
    <col min="5120" max="5120" width="37" style="500" customWidth="1"/>
    <col min="5121" max="5121" width="7.28515625" style="500" bestFit="1" customWidth="1"/>
    <col min="5122" max="5123" width="17.140625" style="500" customWidth="1"/>
    <col min="5124" max="5124" width="17.85546875" style="500" customWidth="1"/>
    <col min="5125" max="5125" width="7.42578125" style="500" customWidth="1"/>
    <col min="5126" max="5127" width="0" style="500" hidden="1" customWidth="1"/>
    <col min="5128" max="5128" width="49" style="500" customWidth="1"/>
    <col min="5129" max="5129" width="31.28515625" style="500" customWidth="1"/>
    <col min="5130" max="5130" width="12.28515625" style="500" bestFit="1" customWidth="1"/>
    <col min="5131" max="5375" width="11.42578125" style="500"/>
    <col min="5376" max="5376" width="37" style="500" customWidth="1"/>
    <col min="5377" max="5377" width="7.28515625" style="500" bestFit="1" customWidth="1"/>
    <col min="5378" max="5379" width="17.140625" style="500" customWidth="1"/>
    <col min="5380" max="5380" width="17.85546875" style="500" customWidth="1"/>
    <col min="5381" max="5381" width="7.42578125" style="500" customWidth="1"/>
    <col min="5382" max="5383" width="0" style="500" hidden="1" customWidth="1"/>
    <col min="5384" max="5384" width="49" style="500" customWidth="1"/>
    <col min="5385" max="5385" width="31.28515625" style="500" customWidth="1"/>
    <col min="5386" max="5386" width="12.28515625" style="500" bestFit="1" customWidth="1"/>
    <col min="5387" max="5631" width="11.42578125" style="500"/>
    <col min="5632" max="5632" width="37" style="500" customWidth="1"/>
    <col min="5633" max="5633" width="7.28515625" style="500" bestFit="1" customWidth="1"/>
    <col min="5634" max="5635" width="17.140625" style="500" customWidth="1"/>
    <col min="5636" max="5636" width="17.85546875" style="500" customWidth="1"/>
    <col min="5637" max="5637" width="7.42578125" style="500" customWidth="1"/>
    <col min="5638" max="5639" width="0" style="500" hidden="1" customWidth="1"/>
    <col min="5640" max="5640" width="49" style="500" customWidth="1"/>
    <col min="5641" max="5641" width="31.28515625" style="500" customWidth="1"/>
    <col min="5642" max="5642" width="12.28515625" style="500" bestFit="1" customWidth="1"/>
    <col min="5643" max="5887" width="11.42578125" style="500"/>
    <col min="5888" max="5888" width="37" style="500" customWidth="1"/>
    <col min="5889" max="5889" width="7.28515625" style="500" bestFit="1" customWidth="1"/>
    <col min="5890" max="5891" width="17.140625" style="500" customWidth="1"/>
    <col min="5892" max="5892" width="17.85546875" style="500" customWidth="1"/>
    <col min="5893" max="5893" width="7.42578125" style="500" customWidth="1"/>
    <col min="5894" max="5895" width="0" style="500" hidden="1" customWidth="1"/>
    <col min="5896" max="5896" width="49" style="500" customWidth="1"/>
    <col min="5897" max="5897" width="31.28515625" style="500" customWidth="1"/>
    <col min="5898" max="5898" width="12.28515625" style="500" bestFit="1" customWidth="1"/>
    <col min="5899" max="6143" width="11.42578125" style="500"/>
    <col min="6144" max="6144" width="37" style="500" customWidth="1"/>
    <col min="6145" max="6145" width="7.28515625" style="500" bestFit="1" customWidth="1"/>
    <col min="6146" max="6147" width="17.140625" style="500" customWidth="1"/>
    <col min="6148" max="6148" width="17.85546875" style="500" customWidth="1"/>
    <col min="6149" max="6149" width="7.42578125" style="500" customWidth="1"/>
    <col min="6150" max="6151" width="0" style="500" hidden="1" customWidth="1"/>
    <col min="6152" max="6152" width="49" style="500" customWidth="1"/>
    <col min="6153" max="6153" width="31.28515625" style="500" customWidth="1"/>
    <col min="6154" max="6154" width="12.28515625" style="500" bestFit="1" customWidth="1"/>
    <col min="6155" max="6399" width="11.42578125" style="500"/>
    <col min="6400" max="6400" width="37" style="500" customWidth="1"/>
    <col min="6401" max="6401" width="7.28515625" style="500" bestFit="1" customWidth="1"/>
    <col min="6402" max="6403" width="17.140625" style="500" customWidth="1"/>
    <col min="6404" max="6404" width="17.85546875" style="500" customWidth="1"/>
    <col min="6405" max="6405" width="7.42578125" style="500" customWidth="1"/>
    <col min="6406" max="6407" width="0" style="500" hidden="1" customWidth="1"/>
    <col min="6408" max="6408" width="49" style="500" customWidth="1"/>
    <col min="6409" max="6409" width="31.28515625" style="500" customWidth="1"/>
    <col min="6410" max="6410" width="12.28515625" style="500" bestFit="1" customWidth="1"/>
    <col min="6411" max="6655" width="11.42578125" style="500"/>
    <col min="6656" max="6656" width="37" style="500" customWidth="1"/>
    <col min="6657" max="6657" width="7.28515625" style="500" bestFit="1" customWidth="1"/>
    <col min="6658" max="6659" width="17.140625" style="500" customWidth="1"/>
    <col min="6660" max="6660" width="17.85546875" style="500" customWidth="1"/>
    <col min="6661" max="6661" width="7.42578125" style="500" customWidth="1"/>
    <col min="6662" max="6663" width="0" style="500" hidden="1" customWidth="1"/>
    <col min="6664" max="6664" width="49" style="500" customWidth="1"/>
    <col min="6665" max="6665" width="31.28515625" style="500" customWidth="1"/>
    <col min="6666" max="6666" width="12.28515625" style="500" bestFit="1" customWidth="1"/>
    <col min="6667" max="6911" width="11.42578125" style="500"/>
    <col min="6912" max="6912" width="37" style="500" customWidth="1"/>
    <col min="6913" max="6913" width="7.28515625" style="500" bestFit="1" customWidth="1"/>
    <col min="6914" max="6915" width="17.140625" style="500" customWidth="1"/>
    <col min="6916" max="6916" width="17.85546875" style="500" customWidth="1"/>
    <col min="6917" max="6917" width="7.42578125" style="500" customWidth="1"/>
    <col min="6918" max="6919" width="0" style="500" hidden="1" customWidth="1"/>
    <col min="6920" max="6920" width="49" style="500" customWidth="1"/>
    <col min="6921" max="6921" width="31.28515625" style="500" customWidth="1"/>
    <col min="6922" max="6922" width="12.28515625" style="500" bestFit="1" customWidth="1"/>
    <col min="6923" max="7167" width="11.42578125" style="500"/>
    <col min="7168" max="7168" width="37" style="500" customWidth="1"/>
    <col min="7169" max="7169" width="7.28515625" style="500" bestFit="1" customWidth="1"/>
    <col min="7170" max="7171" width="17.140625" style="500" customWidth="1"/>
    <col min="7172" max="7172" width="17.85546875" style="500" customWidth="1"/>
    <col min="7173" max="7173" width="7.42578125" style="500" customWidth="1"/>
    <col min="7174" max="7175" width="0" style="500" hidden="1" customWidth="1"/>
    <col min="7176" max="7176" width="49" style="500" customWidth="1"/>
    <col min="7177" max="7177" width="31.28515625" style="500" customWidth="1"/>
    <col min="7178" max="7178" width="12.28515625" style="500" bestFit="1" customWidth="1"/>
    <col min="7179" max="7423" width="11.42578125" style="500"/>
    <col min="7424" max="7424" width="37" style="500" customWidth="1"/>
    <col min="7425" max="7425" width="7.28515625" style="500" bestFit="1" customWidth="1"/>
    <col min="7426" max="7427" width="17.140625" style="500" customWidth="1"/>
    <col min="7428" max="7428" width="17.85546875" style="500" customWidth="1"/>
    <col min="7429" max="7429" width="7.42578125" style="500" customWidth="1"/>
    <col min="7430" max="7431" width="0" style="500" hidden="1" customWidth="1"/>
    <col min="7432" max="7432" width="49" style="500" customWidth="1"/>
    <col min="7433" max="7433" width="31.28515625" style="500" customWidth="1"/>
    <col min="7434" max="7434" width="12.28515625" style="500" bestFit="1" customWidth="1"/>
    <col min="7435" max="7679" width="11.42578125" style="500"/>
    <col min="7680" max="7680" width="37" style="500" customWidth="1"/>
    <col min="7681" max="7681" width="7.28515625" style="500" bestFit="1" customWidth="1"/>
    <col min="7682" max="7683" width="17.140625" style="500" customWidth="1"/>
    <col min="7684" max="7684" width="17.85546875" style="500" customWidth="1"/>
    <col min="7685" max="7685" width="7.42578125" style="500" customWidth="1"/>
    <col min="7686" max="7687" width="0" style="500" hidden="1" customWidth="1"/>
    <col min="7688" max="7688" width="49" style="500" customWidth="1"/>
    <col min="7689" max="7689" width="31.28515625" style="500" customWidth="1"/>
    <col min="7690" max="7690" width="12.28515625" style="500" bestFit="1" customWidth="1"/>
    <col min="7691" max="7935" width="11.42578125" style="500"/>
    <col min="7936" max="7936" width="37" style="500" customWidth="1"/>
    <col min="7937" max="7937" width="7.28515625" style="500" bestFit="1" customWidth="1"/>
    <col min="7938" max="7939" width="17.140625" style="500" customWidth="1"/>
    <col min="7940" max="7940" width="17.85546875" style="500" customWidth="1"/>
    <col min="7941" max="7941" width="7.42578125" style="500" customWidth="1"/>
    <col min="7942" max="7943" width="0" style="500" hidden="1" customWidth="1"/>
    <col min="7944" max="7944" width="49" style="500" customWidth="1"/>
    <col min="7945" max="7945" width="31.28515625" style="500" customWidth="1"/>
    <col min="7946" max="7946" width="12.28515625" style="500" bestFit="1" customWidth="1"/>
    <col min="7947" max="8191" width="11.42578125" style="500"/>
    <col min="8192" max="8192" width="37" style="500" customWidth="1"/>
    <col min="8193" max="8193" width="7.28515625" style="500" bestFit="1" customWidth="1"/>
    <col min="8194" max="8195" width="17.140625" style="500" customWidth="1"/>
    <col min="8196" max="8196" width="17.85546875" style="500" customWidth="1"/>
    <col min="8197" max="8197" width="7.42578125" style="500" customWidth="1"/>
    <col min="8198" max="8199" width="0" style="500" hidden="1" customWidth="1"/>
    <col min="8200" max="8200" width="49" style="500" customWidth="1"/>
    <col min="8201" max="8201" width="31.28515625" style="500" customWidth="1"/>
    <col min="8202" max="8202" width="12.28515625" style="500" bestFit="1" customWidth="1"/>
    <col min="8203" max="8447" width="11.42578125" style="500"/>
    <col min="8448" max="8448" width="37" style="500" customWidth="1"/>
    <col min="8449" max="8449" width="7.28515625" style="500" bestFit="1" customWidth="1"/>
    <col min="8450" max="8451" width="17.140625" style="500" customWidth="1"/>
    <col min="8452" max="8452" width="17.85546875" style="500" customWidth="1"/>
    <col min="8453" max="8453" width="7.42578125" style="500" customWidth="1"/>
    <col min="8454" max="8455" width="0" style="500" hidden="1" customWidth="1"/>
    <col min="8456" max="8456" width="49" style="500" customWidth="1"/>
    <col min="8457" max="8457" width="31.28515625" style="500" customWidth="1"/>
    <col min="8458" max="8458" width="12.28515625" style="500" bestFit="1" customWidth="1"/>
    <col min="8459" max="8703" width="11.42578125" style="500"/>
    <col min="8704" max="8704" width="37" style="500" customWidth="1"/>
    <col min="8705" max="8705" width="7.28515625" style="500" bestFit="1" customWidth="1"/>
    <col min="8706" max="8707" width="17.140625" style="500" customWidth="1"/>
    <col min="8708" max="8708" width="17.85546875" style="500" customWidth="1"/>
    <col min="8709" max="8709" width="7.42578125" style="500" customWidth="1"/>
    <col min="8710" max="8711" width="0" style="500" hidden="1" customWidth="1"/>
    <col min="8712" max="8712" width="49" style="500" customWidth="1"/>
    <col min="8713" max="8713" width="31.28515625" style="500" customWidth="1"/>
    <col min="8714" max="8714" width="12.28515625" style="500" bestFit="1" customWidth="1"/>
    <col min="8715" max="8959" width="11.42578125" style="500"/>
    <col min="8960" max="8960" width="37" style="500" customWidth="1"/>
    <col min="8961" max="8961" width="7.28515625" style="500" bestFit="1" customWidth="1"/>
    <col min="8962" max="8963" width="17.140625" style="500" customWidth="1"/>
    <col min="8964" max="8964" width="17.85546875" style="500" customWidth="1"/>
    <col min="8965" max="8965" width="7.42578125" style="500" customWidth="1"/>
    <col min="8966" max="8967" width="0" style="500" hidden="1" customWidth="1"/>
    <col min="8968" max="8968" width="49" style="500" customWidth="1"/>
    <col min="8969" max="8969" width="31.28515625" style="500" customWidth="1"/>
    <col min="8970" max="8970" width="12.28515625" style="500" bestFit="1" customWidth="1"/>
    <col min="8971" max="9215" width="11.42578125" style="500"/>
    <col min="9216" max="9216" width="37" style="500" customWidth="1"/>
    <col min="9217" max="9217" width="7.28515625" style="500" bestFit="1" customWidth="1"/>
    <col min="9218" max="9219" width="17.140625" style="500" customWidth="1"/>
    <col min="9220" max="9220" width="17.85546875" style="500" customWidth="1"/>
    <col min="9221" max="9221" width="7.42578125" style="500" customWidth="1"/>
    <col min="9222" max="9223" width="0" style="500" hidden="1" customWidth="1"/>
    <col min="9224" max="9224" width="49" style="500" customWidth="1"/>
    <col min="9225" max="9225" width="31.28515625" style="500" customWidth="1"/>
    <col min="9226" max="9226" width="12.28515625" style="500" bestFit="1" customWidth="1"/>
    <col min="9227" max="9471" width="11.42578125" style="500"/>
    <col min="9472" max="9472" width="37" style="500" customWidth="1"/>
    <col min="9473" max="9473" width="7.28515625" style="500" bestFit="1" customWidth="1"/>
    <col min="9474" max="9475" width="17.140625" style="500" customWidth="1"/>
    <col min="9476" max="9476" width="17.85546875" style="500" customWidth="1"/>
    <col min="9477" max="9477" width="7.42578125" style="500" customWidth="1"/>
    <col min="9478" max="9479" width="0" style="500" hidden="1" customWidth="1"/>
    <col min="9480" max="9480" width="49" style="500" customWidth="1"/>
    <col min="9481" max="9481" width="31.28515625" style="500" customWidth="1"/>
    <col min="9482" max="9482" width="12.28515625" style="500" bestFit="1" customWidth="1"/>
    <col min="9483" max="9727" width="11.42578125" style="500"/>
    <col min="9728" max="9728" width="37" style="500" customWidth="1"/>
    <col min="9729" max="9729" width="7.28515625" style="500" bestFit="1" customWidth="1"/>
    <col min="9730" max="9731" width="17.140625" style="500" customWidth="1"/>
    <col min="9732" max="9732" width="17.85546875" style="500" customWidth="1"/>
    <col min="9733" max="9733" width="7.42578125" style="500" customWidth="1"/>
    <col min="9734" max="9735" width="0" style="500" hidden="1" customWidth="1"/>
    <col min="9736" max="9736" width="49" style="500" customWidth="1"/>
    <col min="9737" max="9737" width="31.28515625" style="500" customWidth="1"/>
    <col min="9738" max="9738" width="12.28515625" style="500" bestFit="1" customWidth="1"/>
    <col min="9739" max="9983" width="11.42578125" style="500"/>
    <col min="9984" max="9984" width="37" style="500" customWidth="1"/>
    <col min="9985" max="9985" width="7.28515625" style="500" bestFit="1" customWidth="1"/>
    <col min="9986" max="9987" width="17.140625" style="500" customWidth="1"/>
    <col min="9988" max="9988" width="17.85546875" style="500" customWidth="1"/>
    <col min="9989" max="9989" width="7.42578125" style="500" customWidth="1"/>
    <col min="9990" max="9991" width="0" style="500" hidden="1" customWidth="1"/>
    <col min="9992" max="9992" width="49" style="500" customWidth="1"/>
    <col min="9993" max="9993" width="31.28515625" style="500" customWidth="1"/>
    <col min="9994" max="9994" width="12.28515625" style="500" bestFit="1" customWidth="1"/>
    <col min="9995" max="10239" width="11.42578125" style="500"/>
    <col min="10240" max="10240" width="37" style="500" customWidth="1"/>
    <col min="10241" max="10241" width="7.28515625" style="500" bestFit="1" customWidth="1"/>
    <col min="10242" max="10243" width="17.140625" style="500" customWidth="1"/>
    <col min="10244" max="10244" width="17.85546875" style="500" customWidth="1"/>
    <col min="10245" max="10245" width="7.42578125" style="500" customWidth="1"/>
    <col min="10246" max="10247" width="0" style="500" hidden="1" customWidth="1"/>
    <col min="10248" max="10248" width="49" style="500" customWidth="1"/>
    <col min="10249" max="10249" width="31.28515625" style="500" customWidth="1"/>
    <col min="10250" max="10250" width="12.28515625" style="500" bestFit="1" customWidth="1"/>
    <col min="10251" max="10495" width="11.42578125" style="500"/>
    <col min="10496" max="10496" width="37" style="500" customWidth="1"/>
    <col min="10497" max="10497" width="7.28515625" style="500" bestFit="1" customWidth="1"/>
    <col min="10498" max="10499" width="17.140625" style="500" customWidth="1"/>
    <col min="10500" max="10500" width="17.85546875" style="500" customWidth="1"/>
    <col min="10501" max="10501" width="7.42578125" style="500" customWidth="1"/>
    <col min="10502" max="10503" width="0" style="500" hidden="1" customWidth="1"/>
    <col min="10504" max="10504" width="49" style="500" customWidth="1"/>
    <col min="10505" max="10505" width="31.28515625" style="500" customWidth="1"/>
    <col min="10506" max="10506" width="12.28515625" style="500" bestFit="1" customWidth="1"/>
    <col min="10507" max="10751" width="11.42578125" style="500"/>
    <col min="10752" max="10752" width="37" style="500" customWidth="1"/>
    <col min="10753" max="10753" width="7.28515625" style="500" bestFit="1" customWidth="1"/>
    <col min="10754" max="10755" width="17.140625" style="500" customWidth="1"/>
    <col min="10756" max="10756" width="17.85546875" style="500" customWidth="1"/>
    <col min="10757" max="10757" width="7.42578125" style="500" customWidth="1"/>
    <col min="10758" max="10759" width="0" style="500" hidden="1" customWidth="1"/>
    <col min="10760" max="10760" width="49" style="500" customWidth="1"/>
    <col min="10761" max="10761" width="31.28515625" style="500" customWidth="1"/>
    <col min="10762" max="10762" width="12.28515625" style="500" bestFit="1" customWidth="1"/>
    <col min="10763" max="11007" width="11.42578125" style="500"/>
    <col min="11008" max="11008" width="37" style="500" customWidth="1"/>
    <col min="11009" max="11009" width="7.28515625" style="500" bestFit="1" customWidth="1"/>
    <col min="11010" max="11011" width="17.140625" style="500" customWidth="1"/>
    <col min="11012" max="11012" width="17.85546875" style="500" customWidth="1"/>
    <col min="11013" max="11013" width="7.42578125" style="500" customWidth="1"/>
    <col min="11014" max="11015" width="0" style="500" hidden="1" customWidth="1"/>
    <col min="11016" max="11016" width="49" style="500" customWidth="1"/>
    <col min="11017" max="11017" width="31.28515625" style="500" customWidth="1"/>
    <col min="11018" max="11018" width="12.28515625" style="500" bestFit="1" customWidth="1"/>
    <col min="11019" max="11263" width="11.42578125" style="500"/>
    <col min="11264" max="11264" width="37" style="500" customWidth="1"/>
    <col min="11265" max="11265" width="7.28515625" style="500" bestFit="1" customWidth="1"/>
    <col min="11266" max="11267" width="17.140625" style="500" customWidth="1"/>
    <col min="11268" max="11268" width="17.85546875" style="500" customWidth="1"/>
    <col min="11269" max="11269" width="7.42578125" style="500" customWidth="1"/>
    <col min="11270" max="11271" width="0" style="500" hidden="1" customWidth="1"/>
    <col min="11272" max="11272" width="49" style="500" customWidth="1"/>
    <col min="11273" max="11273" width="31.28515625" style="500" customWidth="1"/>
    <col min="11274" max="11274" width="12.28515625" style="500" bestFit="1" customWidth="1"/>
    <col min="11275" max="11519" width="11.42578125" style="500"/>
    <col min="11520" max="11520" width="37" style="500" customWidth="1"/>
    <col min="11521" max="11521" width="7.28515625" style="500" bestFit="1" customWidth="1"/>
    <col min="11522" max="11523" width="17.140625" style="500" customWidth="1"/>
    <col min="11524" max="11524" width="17.85546875" style="500" customWidth="1"/>
    <col min="11525" max="11525" width="7.42578125" style="500" customWidth="1"/>
    <col min="11526" max="11527" width="0" style="500" hidden="1" customWidth="1"/>
    <col min="11528" max="11528" width="49" style="500" customWidth="1"/>
    <col min="11529" max="11529" width="31.28515625" style="500" customWidth="1"/>
    <col min="11530" max="11530" width="12.28515625" style="500" bestFit="1" customWidth="1"/>
    <col min="11531" max="11775" width="11.42578125" style="500"/>
    <col min="11776" max="11776" width="37" style="500" customWidth="1"/>
    <col min="11777" max="11777" width="7.28515625" style="500" bestFit="1" customWidth="1"/>
    <col min="11778" max="11779" width="17.140625" style="500" customWidth="1"/>
    <col min="11780" max="11780" width="17.85546875" style="500" customWidth="1"/>
    <col min="11781" max="11781" width="7.42578125" style="500" customWidth="1"/>
    <col min="11782" max="11783" width="0" style="500" hidden="1" customWidth="1"/>
    <col min="11784" max="11784" width="49" style="500" customWidth="1"/>
    <col min="11785" max="11785" width="31.28515625" style="500" customWidth="1"/>
    <col min="11786" max="11786" width="12.28515625" style="500" bestFit="1" customWidth="1"/>
    <col min="11787" max="12031" width="11.42578125" style="500"/>
    <col min="12032" max="12032" width="37" style="500" customWidth="1"/>
    <col min="12033" max="12033" width="7.28515625" style="500" bestFit="1" customWidth="1"/>
    <col min="12034" max="12035" width="17.140625" style="500" customWidth="1"/>
    <col min="12036" max="12036" width="17.85546875" style="500" customWidth="1"/>
    <col min="12037" max="12037" width="7.42578125" style="500" customWidth="1"/>
    <col min="12038" max="12039" width="0" style="500" hidden="1" customWidth="1"/>
    <col min="12040" max="12040" width="49" style="500" customWidth="1"/>
    <col min="12041" max="12041" width="31.28515625" style="500" customWidth="1"/>
    <col min="12042" max="12042" width="12.28515625" style="500" bestFit="1" customWidth="1"/>
    <col min="12043" max="12287" width="11.42578125" style="500"/>
    <col min="12288" max="12288" width="37" style="500" customWidth="1"/>
    <col min="12289" max="12289" width="7.28515625" style="500" bestFit="1" customWidth="1"/>
    <col min="12290" max="12291" width="17.140625" style="500" customWidth="1"/>
    <col min="12292" max="12292" width="17.85546875" style="500" customWidth="1"/>
    <col min="12293" max="12293" width="7.42578125" style="500" customWidth="1"/>
    <col min="12294" max="12295" width="0" style="500" hidden="1" customWidth="1"/>
    <col min="12296" max="12296" width="49" style="500" customWidth="1"/>
    <col min="12297" max="12297" width="31.28515625" style="500" customWidth="1"/>
    <col min="12298" max="12298" width="12.28515625" style="500" bestFit="1" customWidth="1"/>
    <col min="12299" max="12543" width="11.42578125" style="500"/>
    <col min="12544" max="12544" width="37" style="500" customWidth="1"/>
    <col min="12545" max="12545" width="7.28515625" style="500" bestFit="1" customWidth="1"/>
    <col min="12546" max="12547" width="17.140625" style="500" customWidth="1"/>
    <col min="12548" max="12548" width="17.85546875" style="500" customWidth="1"/>
    <col min="12549" max="12549" width="7.42578125" style="500" customWidth="1"/>
    <col min="12550" max="12551" width="0" style="500" hidden="1" customWidth="1"/>
    <col min="12552" max="12552" width="49" style="500" customWidth="1"/>
    <col min="12553" max="12553" width="31.28515625" style="500" customWidth="1"/>
    <col min="12554" max="12554" width="12.28515625" style="500" bestFit="1" customWidth="1"/>
    <col min="12555" max="12799" width="11.42578125" style="500"/>
    <col min="12800" max="12800" width="37" style="500" customWidth="1"/>
    <col min="12801" max="12801" width="7.28515625" style="500" bestFit="1" customWidth="1"/>
    <col min="12802" max="12803" width="17.140625" style="500" customWidth="1"/>
    <col min="12804" max="12804" width="17.85546875" style="500" customWidth="1"/>
    <col min="12805" max="12805" width="7.42578125" style="500" customWidth="1"/>
    <col min="12806" max="12807" width="0" style="500" hidden="1" customWidth="1"/>
    <col min="12808" max="12808" width="49" style="500" customWidth="1"/>
    <col min="12809" max="12809" width="31.28515625" style="500" customWidth="1"/>
    <col min="12810" max="12810" width="12.28515625" style="500" bestFit="1" customWidth="1"/>
    <col min="12811" max="13055" width="11.42578125" style="500"/>
    <col min="13056" max="13056" width="37" style="500" customWidth="1"/>
    <col min="13057" max="13057" width="7.28515625" style="500" bestFit="1" customWidth="1"/>
    <col min="13058" max="13059" width="17.140625" style="500" customWidth="1"/>
    <col min="13060" max="13060" width="17.85546875" style="500" customWidth="1"/>
    <col min="13061" max="13061" width="7.42578125" style="500" customWidth="1"/>
    <col min="13062" max="13063" width="0" style="500" hidden="1" customWidth="1"/>
    <col min="13064" max="13064" width="49" style="500" customWidth="1"/>
    <col min="13065" max="13065" width="31.28515625" style="500" customWidth="1"/>
    <col min="13066" max="13066" width="12.28515625" style="500" bestFit="1" customWidth="1"/>
    <col min="13067" max="13311" width="11.42578125" style="500"/>
    <col min="13312" max="13312" width="37" style="500" customWidth="1"/>
    <col min="13313" max="13313" width="7.28515625" style="500" bestFit="1" customWidth="1"/>
    <col min="13314" max="13315" width="17.140625" style="500" customWidth="1"/>
    <col min="13316" max="13316" width="17.85546875" style="500" customWidth="1"/>
    <col min="13317" max="13317" width="7.42578125" style="500" customWidth="1"/>
    <col min="13318" max="13319" width="0" style="500" hidden="1" customWidth="1"/>
    <col min="13320" max="13320" width="49" style="500" customWidth="1"/>
    <col min="13321" max="13321" width="31.28515625" style="500" customWidth="1"/>
    <col min="13322" max="13322" width="12.28515625" style="500" bestFit="1" customWidth="1"/>
    <col min="13323" max="13567" width="11.42578125" style="500"/>
    <col min="13568" max="13568" width="37" style="500" customWidth="1"/>
    <col min="13569" max="13569" width="7.28515625" style="500" bestFit="1" customWidth="1"/>
    <col min="13570" max="13571" width="17.140625" style="500" customWidth="1"/>
    <col min="13572" max="13572" width="17.85546875" style="500" customWidth="1"/>
    <col min="13573" max="13573" width="7.42578125" style="500" customWidth="1"/>
    <col min="13574" max="13575" width="0" style="500" hidden="1" customWidth="1"/>
    <col min="13576" max="13576" width="49" style="500" customWidth="1"/>
    <col min="13577" max="13577" width="31.28515625" style="500" customWidth="1"/>
    <col min="13578" max="13578" width="12.28515625" style="500" bestFit="1" customWidth="1"/>
    <col min="13579" max="13823" width="11.42578125" style="500"/>
    <col min="13824" max="13824" width="37" style="500" customWidth="1"/>
    <col min="13825" max="13825" width="7.28515625" style="500" bestFit="1" customWidth="1"/>
    <col min="13826" max="13827" width="17.140625" style="500" customWidth="1"/>
    <col min="13828" max="13828" width="17.85546875" style="500" customWidth="1"/>
    <col min="13829" max="13829" width="7.42578125" style="500" customWidth="1"/>
    <col min="13830" max="13831" width="0" style="500" hidden="1" customWidth="1"/>
    <col min="13832" max="13832" width="49" style="500" customWidth="1"/>
    <col min="13833" max="13833" width="31.28515625" style="500" customWidth="1"/>
    <col min="13834" max="13834" width="12.28515625" style="500" bestFit="1" customWidth="1"/>
    <col min="13835" max="14079" width="11.42578125" style="500"/>
    <col min="14080" max="14080" width="37" style="500" customWidth="1"/>
    <col min="14081" max="14081" width="7.28515625" style="500" bestFit="1" customWidth="1"/>
    <col min="14082" max="14083" width="17.140625" style="500" customWidth="1"/>
    <col min="14084" max="14084" width="17.85546875" style="500" customWidth="1"/>
    <col min="14085" max="14085" width="7.42578125" style="500" customWidth="1"/>
    <col min="14086" max="14087" width="0" style="500" hidden="1" customWidth="1"/>
    <col min="14088" max="14088" width="49" style="500" customWidth="1"/>
    <col min="14089" max="14089" width="31.28515625" style="500" customWidth="1"/>
    <col min="14090" max="14090" width="12.28515625" style="500" bestFit="1" customWidth="1"/>
    <col min="14091" max="14335" width="11.42578125" style="500"/>
    <col min="14336" max="14336" width="37" style="500" customWidth="1"/>
    <col min="14337" max="14337" width="7.28515625" style="500" bestFit="1" customWidth="1"/>
    <col min="14338" max="14339" width="17.140625" style="500" customWidth="1"/>
    <col min="14340" max="14340" width="17.85546875" style="500" customWidth="1"/>
    <col min="14341" max="14341" width="7.42578125" style="500" customWidth="1"/>
    <col min="14342" max="14343" width="0" style="500" hidden="1" customWidth="1"/>
    <col min="14344" max="14344" width="49" style="500" customWidth="1"/>
    <col min="14345" max="14345" width="31.28515625" style="500" customWidth="1"/>
    <col min="14346" max="14346" width="12.28515625" style="500" bestFit="1" customWidth="1"/>
    <col min="14347" max="14591" width="11.42578125" style="500"/>
    <col min="14592" max="14592" width="37" style="500" customWidth="1"/>
    <col min="14593" max="14593" width="7.28515625" style="500" bestFit="1" customWidth="1"/>
    <col min="14594" max="14595" width="17.140625" style="500" customWidth="1"/>
    <col min="14596" max="14596" width="17.85546875" style="500" customWidth="1"/>
    <col min="14597" max="14597" width="7.42578125" style="500" customWidth="1"/>
    <col min="14598" max="14599" width="0" style="500" hidden="1" customWidth="1"/>
    <col min="14600" max="14600" width="49" style="500" customWidth="1"/>
    <col min="14601" max="14601" width="31.28515625" style="500" customWidth="1"/>
    <col min="14602" max="14602" width="12.28515625" style="500" bestFit="1" customWidth="1"/>
    <col min="14603" max="14847" width="11.42578125" style="500"/>
    <col min="14848" max="14848" width="37" style="500" customWidth="1"/>
    <col min="14849" max="14849" width="7.28515625" style="500" bestFit="1" customWidth="1"/>
    <col min="14850" max="14851" width="17.140625" style="500" customWidth="1"/>
    <col min="14852" max="14852" width="17.85546875" style="500" customWidth="1"/>
    <col min="14853" max="14853" width="7.42578125" style="500" customWidth="1"/>
    <col min="14854" max="14855" width="0" style="500" hidden="1" customWidth="1"/>
    <col min="14856" max="14856" width="49" style="500" customWidth="1"/>
    <col min="14857" max="14857" width="31.28515625" style="500" customWidth="1"/>
    <col min="14858" max="14858" width="12.28515625" style="500" bestFit="1" customWidth="1"/>
    <col min="14859" max="15103" width="11.42578125" style="500"/>
    <col min="15104" max="15104" width="37" style="500" customWidth="1"/>
    <col min="15105" max="15105" width="7.28515625" style="500" bestFit="1" customWidth="1"/>
    <col min="15106" max="15107" width="17.140625" style="500" customWidth="1"/>
    <col min="15108" max="15108" width="17.85546875" style="500" customWidth="1"/>
    <col min="15109" max="15109" width="7.42578125" style="500" customWidth="1"/>
    <col min="15110" max="15111" width="0" style="500" hidden="1" customWidth="1"/>
    <col min="15112" max="15112" width="49" style="500" customWidth="1"/>
    <col min="15113" max="15113" width="31.28515625" style="500" customWidth="1"/>
    <col min="15114" max="15114" width="12.28515625" style="500" bestFit="1" customWidth="1"/>
    <col min="15115" max="15359" width="11.42578125" style="500"/>
    <col min="15360" max="15360" width="37" style="500" customWidth="1"/>
    <col min="15361" max="15361" width="7.28515625" style="500" bestFit="1" customWidth="1"/>
    <col min="15362" max="15363" width="17.140625" style="500" customWidth="1"/>
    <col min="15364" max="15364" width="17.85546875" style="500" customWidth="1"/>
    <col min="15365" max="15365" width="7.42578125" style="500" customWidth="1"/>
    <col min="15366" max="15367" width="0" style="500" hidden="1" customWidth="1"/>
    <col min="15368" max="15368" width="49" style="500" customWidth="1"/>
    <col min="15369" max="15369" width="31.28515625" style="500" customWidth="1"/>
    <col min="15370" max="15370" width="12.28515625" style="500" bestFit="1" customWidth="1"/>
    <col min="15371" max="15615" width="11.42578125" style="500"/>
    <col min="15616" max="15616" width="37" style="500" customWidth="1"/>
    <col min="15617" max="15617" width="7.28515625" style="500" bestFit="1" customWidth="1"/>
    <col min="15618" max="15619" width="17.140625" style="500" customWidth="1"/>
    <col min="15620" max="15620" width="17.85546875" style="500" customWidth="1"/>
    <col min="15621" max="15621" width="7.42578125" style="500" customWidth="1"/>
    <col min="15622" max="15623" width="0" style="500" hidden="1" customWidth="1"/>
    <col min="15624" max="15624" width="49" style="500" customWidth="1"/>
    <col min="15625" max="15625" width="31.28515625" style="500" customWidth="1"/>
    <col min="15626" max="15626" width="12.28515625" style="500" bestFit="1" customWidth="1"/>
    <col min="15627" max="15871" width="11.42578125" style="500"/>
    <col min="15872" max="15872" width="37" style="500" customWidth="1"/>
    <col min="15873" max="15873" width="7.28515625" style="500" bestFit="1" customWidth="1"/>
    <col min="15874" max="15875" width="17.140625" style="500" customWidth="1"/>
    <col min="15876" max="15876" width="17.85546875" style="500" customWidth="1"/>
    <col min="15877" max="15877" width="7.42578125" style="500" customWidth="1"/>
    <col min="15878" max="15879" width="0" style="500" hidden="1" customWidth="1"/>
    <col min="15880" max="15880" width="49" style="500" customWidth="1"/>
    <col min="15881" max="15881" width="31.28515625" style="500" customWidth="1"/>
    <col min="15882" max="15882" width="12.28515625" style="500" bestFit="1" customWidth="1"/>
    <col min="15883" max="16127" width="11.42578125" style="500"/>
    <col min="16128" max="16128" width="37" style="500" customWidth="1"/>
    <col min="16129" max="16129" width="7.28515625" style="500" bestFit="1" customWidth="1"/>
    <col min="16130" max="16131" width="17.140625" style="500" customWidth="1"/>
    <col min="16132" max="16132" width="17.85546875" style="500" customWidth="1"/>
    <col min="16133" max="16133" width="7.42578125" style="500" customWidth="1"/>
    <col min="16134" max="16135" width="0" style="500" hidden="1" customWidth="1"/>
    <col min="16136" max="16136" width="49" style="500" customWidth="1"/>
    <col min="16137" max="16137" width="31.28515625" style="500" customWidth="1"/>
    <col min="16138" max="16138" width="12.28515625" style="500" bestFit="1" customWidth="1"/>
    <col min="16139" max="16384" width="11.42578125" style="500"/>
  </cols>
  <sheetData>
    <row r="1" spans="1:27">
      <c r="A1" s="499" t="s">
        <v>49</v>
      </c>
      <c r="B1" s="499"/>
      <c r="C1" s="499"/>
      <c r="D1" s="499"/>
    </row>
    <row r="2" spans="1:27">
      <c r="A2" s="499" t="s">
        <v>50</v>
      </c>
      <c r="B2" s="499"/>
      <c r="C2" s="499"/>
      <c r="D2" s="499"/>
    </row>
    <row r="3" spans="1:27">
      <c r="A3" s="855" t="s">
        <v>366</v>
      </c>
      <c r="B3" s="855"/>
      <c r="C3" s="855"/>
      <c r="D3" s="855"/>
      <c r="E3" s="855"/>
    </row>
    <row r="4" spans="1:27">
      <c r="A4" s="855" t="s">
        <v>52</v>
      </c>
      <c r="B4" s="855"/>
      <c r="C4" s="855"/>
      <c r="D4" s="855"/>
      <c r="E4" s="855"/>
    </row>
    <row r="5" spans="1:27">
      <c r="A5" s="50"/>
      <c r="B5" s="390"/>
      <c r="C5" s="390"/>
      <c r="D5" s="391"/>
      <c r="E5" s="391"/>
    </row>
    <row r="6" spans="1:27" ht="15.75">
      <c r="B6" s="390">
        <v>43952</v>
      </c>
      <c r="C6" s="390">
        <v>43922</v>
      </c>
      <c r="D6" s="501" t="s">
        <v>545</v>
      </c>
      <c r="E6" s="501" t="s">
        <v>17</v>
      </c>
      <c r="F6" s="502">
        <v>2009</v>
      </c>
      <c r="G6" s="502">
        <v>2008</v>
      </c>
      <c r="H6" s="389"/>
      <c r="I6" s="514"/>
      <c r="N6" s="389"/>
      <c r="O6" s="389"/>
      <c r="P6" s="389"/>
      <c r="Q6" s="389"/>
      <c r="R6" s="389"/>
      <c r="S6" s="389"/>
      <c r="T6" s="389"/>
      <c r="U6" s="389"/>
      <c r="V6" s="389"/>
      <c r="W6" s="389"/>
      <c r="X6" s="389"/>
      <c r="Y6" s="389"/>
      <c r="Z6" s="389"/>
      <c r="AA6" s="389"/>
    </row>
    <row r="7" spans="1:27" ht="19.5" customHeight="1">
      <c r="A7" s="503" t="s">
        <v>0</v>
      </c>
      <c r="B7" s="504"/>
      <c r="C7" s="504"/>
      <c r="F7" s="504"/>
      <c r="G7" s="504"/>
      <c r="H7" s="389"/>
      <c r="I7" s="593"/>
      <c r="J7" s="542">
        <f>+I7-B25</f>
        <v>-318382844.9799999</v>
      </c>
      <c r="N7" s="389"/>
      <c r="O7" s="389"/>
      <c r="P7" s="389"/>
      <c r="Q7" s="389"/>
      <c r="R7" s="389"/>
      <c r="S7" s="389"/>
      <c r="T7" s="389"/>
      <c r="U7" s="389"/>
      <c r="V7" s="389"/>
      <c r="W7" s="389"/>
      <c r="X7" s="389"/>
      <c r="Y7" s="389"/>
      <c r="Z7" s="389"/>
      <c r="AA7" s="389"/>
    </row>
    <row r="8" spans="1:27" s="508" customFormat="1" ht="19.5" customHeight="1">
      <c r="A8" s="509" t="s">
        <v>55</v>
      </c>
      <c r="B8" s="511">
        <f>SUM(B9:B10)</f>
        <v>236934432.90999985</v>
      </c>
      <c r="C8" s="511">
        <f>SUM(C9:C10)</f>
        <v>185259901.90999985</v>
      </c>
      <c r="D8" s="511">
        <f>SUM(D9:D10)</f>
        <v>51674531</v>
      </c>
      <c r="E8" s="512">
        <f>+B8/C8-1</f>
        <v>0.27892992745458622</v>
      </c>
      <c r="F8" s="511">
        <f>SUM(F9:F10)</f>
        <v>0</v>
      </c>
      <c r="G8" s="511">
        <f>SUM(G9:G10)</f>
        <v>0</v>
      </c>
      <c r="H8" s="389"/>
      <c r="I8" s="593"/>
      <c r="J8" s="531"/>
      <c r="N8" s="389"/>
      <c r="O8" s="389"/>
      <c r="P8" s="389"/>
      <c r="Q8" s="389"/>
      <c r="R8" s="389"/>
      <c r="S8" s="389"/>
      <c r="T8" s="389"/>
      <c r="U8" s="389"/>
      <c r="V8" s="389"/>
      <c r="W8" s="389"/>
      <c r="X8" s="389"/>
      <c r="Y8" s="389"/>
      <c r="Z8" s="389"/>
      <c r="AA8" s="389"/>
    </row>
    <row r="9" spans="1:27" s="508" customFormat="1" ht="15.75">
      <c r="A9" s="513" t="s">
        <v>56</v>
      </c>
      <c r="B9" s="593">
        <v>600000</v>
      </c>
      <c r="C9" s="514">
        <v>600000</v>
      </c>
      <c r="D9" s="515">
        <f>+B9-C9</f>
        <v>0</v>
      </c>
      <c r="E9" s="516">
        <f>IF(C9=0,0,D9/C9)</f>
        <v>0</v>
      </c>
      <c r="F9" s="517"/>
      <c r="G9" s="517"/>
      <c r="H9" s="389"/>
      <c r="I9" s="593"/>
      <c r="N9" s="389"/>
      <c r="O9" s="389"/>
      <c r="P9" s="389"/>
      <c r="Q9" s="389"/>
      <c r="R9" s="389"/>
      <c r="S9" s="389"/>
      <c r="T9" s="389"/>
      <c r="U9" s="389"/>
      <c r="V9" s="389"/>
      <c r="W9" s="389"/>
      <c r="X9" s="389"/>
      <c r="Y9" s="389"/>
      <c r="Z9" s="389"/>
      <c r="AA9" s="389"/>
    </row>
    <row r="10" spans="1:27" s="508" customFormat="1" ht="15.75">
      <c r="A10" s="513" t="s">
        <v>1</v>
      </c>
      <c r="B10" s="593">
        <v>236334432.90999985</v>
      </c>
      <c r="C10" s="514">
        <v>184659901.90999985</v>
      </c>
      <c r="D10" s="515">
        <f>+B10-C10</f>
        <v>51674531</v>
      </c>
      <c r="E10" s="516">
        <f>IF(C10=0,0,D10/C10)</f>
        <v>0.279836231176952</v>
      </c>
      <c r="F10" s="517"/>
      <c r="G10" s="517"/>
      <c r="H10" s="389"/>
      <c r="I10" s="593"/>
      <c r="N10" s="389"/>
      <c r="O10" s="389"/>
      <c r="P10" s="389"/>
      <c r="Q10" s="389"/>
      <c r="R10" s="389"/>
      <c r="S10" s="389"/>
      <c r="T10" s="389"/>
      <c r="U10" s="389"/>
      <c r="V10" s="389"/>
      <c r="W10" s="389"/>
      <c r="X10" s="389"/>
      <c r="Y10" s="389"/>
      <c r="Z10" s="389"/>
      <c r="AA10" s="389"/>
    </row>
    <row r="11" spans="1:27" s="508" customFormat="1" ht="21" customHeight="1">
      <c r="A11" s="509" t="s">
        <v>546</v>
      </c>
      <c r="B11" s="593">
        <v>728302.07000005129</v>
      </c>
      <c r="C11" s="645">
        <v>722705</v>
      </c>
      <c r="D11" s="511">
        <f>+B11-C11</f>
        <v>5597.0700000512879</v>
      </c>
      <c r="E11" s="512">
        <f>+B11/C11-1</f>
        <v>7.744612255417227E-3</v>
      </c>
      <c r="F11" s="511"/>
      <c r="G11" s="511"/>
      <c r="H11" s="389"/>
      <c r="I11" s="593"/>
      <c r="J11" s="521"/>
      <c r="N11" s="389"/>
      <c r="O11" s="389"/>
      <c r="P11" s="389"/>
      <c r="Q11" s="389"/>
      <c r="R11" s="389"/>
      <c r="S11" s="389"/>
      <c r="T11" s="389"/>
      <c r="U11" s="389"/>
      <c r="V11" s="389"/>
      <c r="W11" s="389"/>
      <c r="X11" s="389"/>
      <c r="Y11" s="389"/>
      <c r="Z11" s="389"/>
      <c r="AA11" s="389"/>
    </row>
    <row r="12" spans="1:27" s="508" customFormat="1" ht="24.75" customHeight="1">
      <c r="A12" s="509" t="s">
        <v>61</v>
      </c>
      <c r="B12" s="511">
        <f>SUM(B13:B17)</f>
        <v>85743488</v>
      </c>
      <c r="C12" s="511">
        <f>SUM(C13:C17)</f>
        <v>82455778</v>
      </c>
      <c r="D12" s="511">
        <f>SUM(D13:D17)</f>
        <v>3287710</v>
      </c>
      <c r="E12" s="512">
        <f>+B12/C12-1</f>
        <v>3.9872402877576318E-2</v>
      </c>
      <c r="F12" s="511">
        <f>SUM(F13:F16)</f>
        <v>35625500</v>
      </c>
      <c r="G12" s="511">
        <f>SUM(G13:G16)</f>
        <v>30767660</v>
      </c>
      <c r="H12" s="389"/>
      <c r="I12" s="593"/>
      <c r="J12" s="390">
        <v>43800</v>
      </c>
      <c r="K12" s="508" t="s">
        <v>703</v>
      </c>
      <c r="N12" s="389"/>
      <c r="O12" s="389"/>
      <c r="P12" s="389"/>
      <c r="Q12" s="389"/>
      <c r="R12" s="389"/>
      <c r="S12" s="389"/>
      <c r="T12" s="389"/>
      <c r="U12" s="389"/>
      <c r="V12" s="389"/>
      <c r="W12" s="389"/>
      <c r="X12" s="389"/>
      <c r="Y12" s="389"/>
      <c r="Z12" s="389"/>
      <c r="AA12" s="389"/>
    </row>
    <row r="13" spans="1:27" s="508" customFormat="1" ht="15.75">
      <c r="A13" s="513" t="s">
        <v>62</v>
      </c>
      <c r="B13" s="593">
        <v>85658604</v>
      </c>
      <c r="C13" s="514">
        <v>80563304</v>
      </c>
      <c r="D13" s="515">
        <f t="shared" ref="D13:D18" si="0">+B13-C13</f>
        <v>5095300</v>
      </c>
      <c r="E13" s="516">
        <f t="shared" ref="E13:E17" si="1">IF(C13=0,0,D13/C13)</f>
        <v>6.3245916527951737E-2</v>
      </c>
      <c r="F13" s="518">
        <v>33892500</v>
      </c>
      <c r="G13" s="518">
        <v>29624680</v>
      </c>
      <c r="H13" s="389"/>
      <c r="I13" s="593"/>
      <c r="J13" s="514">
        <f>+'[3]comp (2)'!$C$17</f>
        <v>75083344</v>
      </c>
      <c r="K13" s="543">
        <f>+B13-J13</f>
        <v>10575260</v>
      </c>
      <c r="L13" s="516">
        <f t="shared" ref="L13:L17" si="2">IF(J13=0,0,K13/J13)</f>
        <v>0.14084695002396269</v>
      </c>
      <c r="N13" s="601"/>
      <c r="O13" s="389"/>
      <c r="P13" s="389"/>
      <c r="Q13" s="389"/>
      <c r="R13" s="389"/>
      <c r="S13" s="389"/>
      <c r="T13" s="389"/>
      <c r="U13" s="389"/>
      <c r="V13" s="389"/>
      <c r="W13" s="389"/>
      <c r="X13" s="389"/>
      <c r="Y13" s="389"/>
      <c r="Z13" s="389"/>
      <c r="AA13" s="389"/>
    </row>
    <row r="14" spans="1:27" s="508" customFormat="1" ht="15.75">
      <c r="A14" s="513" t="s">
        <v>63</v>
      </c>
      <c r="B14" s="593">
        <v>2468550</v>
      </c>
      <c r="C14" s="514">
        <v>2468550</v>
      </c>
      <c r="D14" s="515">
        <f t="shared" si="0"/>
        <v>0</v>
      </c>
      <c r="E14" s="516">
        <f t="shared" si="1"/>
        <v>0</v>
      </c>
      <c r="F14" s="518"/>
      <c r="G14" s="518">
        <v>20000</v>
      </c>
      <c r="H14" s="389"/>
      <c r="I14" s="593"/>
      <c r="J14" s="514">
        <f>+'[3]comp (2)'!$C$18</f>
        <v>3610200</v>
      </c>
      <c r="K14" s="543">
        <f>+B14-J14</f>
        <v>-1141650</v>
      </c>
      <c r="L14" s="516">
        <f t="shared" si="2"/>
        <v>-0.31622901778294832</v>
      </c>
      <c r="N14" s="601"/>
      <c r="O14" s="389"/>
      <c r="P14" s="389"/>
      <c r="Q14" s="389"/>
      <c r="R14" s="389"/>
      <c r="S14" s="389"/>
      <c r="T14" s="389"/>
      <c r="U14" s="389"/>
      <c r="V14" s="389"/>
      <c r="W14" s="389"/>
      <c r="X14" s="389"/>
      <c r="Y14" s="389"/>
      <c r="Z14" s="389"/>
      <c r="AA14" s="389"/>
    </row>
    <row r="15" spans="1:27" s="508" customFormat="1" ht="15.75">
      <c r="A15" s="523" t="s">
        <v>64</v>
      </c>
      <c r="B15" s="593">
        <f>338000+930000</f>
        <v>1268000</v>
      </c>
      <c r="C15" s="514">
        <f>173000+1042000</f>
        <v>1215000</v>
      </c>
      <c r="D15" s="515">
        <f t="shared" si="0"/>
        <v>53000</v>
      </c>
      <c r="E15" s="516">
        <f t="shared" si="1"/>
        <v>4.3621399176954734E-2</v>
      </c>
      <c r="F15" s="518">
        <f>900000+178000</f>
        <v>1078000</v>
      </c>
      <c r="G15" s="518">
        <v>420000</v>
      </c>
      <c r="H15" s="389"/>
      <c r="I15" s="593"/>
      <c r="J15" s="514">
        <f>+'[3]comp (2)'!$C$19</f>
        <v>2740800</v>
      </c>
      <c r="K15" s="543">
        <f>+B15-J15</f>
        <v>-1472800</v>
      </c>
      <c r="L15" s="516">
        <f t="shared" si="2"/>
        <v>-0.53736135434909515</v>
      </c>
      <c r="N15" s="389"/>
      <c r="O15" s="389"/>
      <c r="P15" s="389"/>
      <c r="Q15" s="389"/>
      <c r="R15" s="389"/>
      <c r="S15" s="389"/>
      <c r="T15" s="389"/>
      <c r="U15" s="389"/>
      <c r="V15" s="389"/>
      <c r="W15" s="389"/>
      <c r="X15" s="389"/>
      <c r="Y15" s="389"/>
      <c r="Z15" s="389"/>
      <c r="AA15" s="389"/>
    </row>
    <row r="16" spans="1:27" s="508" customFormat="1" ht="15.75">
      <c r="A16" s="513" t="s">
        <v>547</v>
      </c>
      <c r="B16" s="593">
        <f>928600+18100+75400</f>
        <v>1022100</v>
      </c>
      <c r="C16" s="514">
        <f>18100+75400+928600</f>
        <v>1022100</v>
      </c>
      <c r="D16" s="515">
        <f t="shared" si="0"/>
        <v>0</v>
      </c>
      <c r="E16" s="516">
        <f t="shared" si="1"/>
        <v>0</v>
      </c>
      <c r="F16" s="518">
        <f>162000+206000+287000</f>
        <v>655000</v>
      </c>
      <c r="G16" s="518">
        <f>632000+70980</f>
        <v>702980</v>
      </c>
      <c r="H16" s="389"/>
      <c r="I16" s="593"/>
      <c r="J16" s="514">
        <f>+'[3]comp (2)'!$C$20</f>
        <v>2797900</v>
      </c>
      <c r="K16" s="543">
        <f>+B16-J16</f>
        <v>-1775800</v>
      </c>
      <c r="L16" s="516">
        <f t="shared" si="2"/>
        <v>-0.63469030344186717</v>
      </c>
      <c r="N16" s="389"/>
      <c r="O16" s="389"/>
      <c r="P16" s="389"/>
      <c r="Q16" s="389"/>
      <c r="R16" s="389"/>
      <c r="S16" s="389"/>
      <c r="T16" s="389"/>
      <c r="U16" s="389"/>
      <c r="V16" s="389"/>
      <c r="W16" s="389"/>
      <c r="X16" s="389"/>
      <c r="Y16" s="389"/>
      <c r="Z16" s="389"/>
      <c r="AA16" s="389"/>
    </row>
    <row r="17" spans="1:27" s="508" customFormat="1" ht="15.75">
      <c r="A17" s="513" t="s">
        <v>66</v>
      </c>
      <c r="B17" s="593">
        <v>-4673766</v>
      </c>
      <c r="C17" s="514">
        <v>-2813176</v>
      </c>
      <c r="D17" s="515">
        <f t="shared" si="0"/>
        <v>-1860590</v>
      </c>
      <c r="E17" s="516">
        <f t="shared" si="1"/>
        <v>0.66138414375780252</v>
      </c>
      <c r="F17" s="518"/>
      <c r="G17" s="518"/>
      <c r="H17" s="389"/>
      <c r="I17" s="593"/>
      <c r="J17" s="600">
        <f>SUM(J13:J16)</f>
        <v>84232244</v>
      </c>
      <c r="K17" s="600">
        <f>SUM(K13:K16)</f>
        <v>6185010</v>
      </c>
      <c r="L17" s="516">
        <f t="shared" si="2"/>
        <v>7.3428056837711697E-2</v>
      </c>
      <c r="N17" s="389"/>
      <c r="O17" s="389"/>
      <c r="P17" s="389"/>
      <c r="Q17" s="389"/>
      <c r="R17" s="389"/>
      <c r="S17" s="389"/>
      <c r="T17" s="389"/>
      <c r="U17" s="389"/>
      <c r="V17" s="389"/>
      <c r="W17" s="389"/>
      <c r="X17" s="389"/>
      <c r="Y17" s="389"/>
      <c r="Z17" s="389"/>
      <c r="AA17" s="389"/>
    </row>
    <row r="18" spans="1:27" s="508" customFormat="1" ht="23.25" customHeight="1">
      <c r="A18" s="509" t="s">
        <v>67</v>
      </c>
      <c r="B18" s="520">
        <v>-20887675</v>
      </c>
      <c r="C18" s="520">
        <v>-20887675</v>
      </c>
      <c r="D18" s="511">
        <f t="shared" si="0"/>
        <v>0</v>
      </c>
      <c r="E18" s="512">
        <f>+B18/C18-1</f>
        <v>0</v>
      </c>
      <c r="F18" s="511"/>
      <c r="G18" s="511"/>
      <c r="H18" s="389"/>
      <c r="I18" s="593"/>
      <c r="N18" s="389"/>
      <c r="O18" s="389"/>
      <c r="P18" s="389"/>
      <c r="Q18" s="389"/>
      <c r="R18" s="389"/>
      <c r="S18" s="389"/>
      <c r="T18" s="389"/>
      <c r="U18" s="389"/>
      <c r="V18" s="389"/>
      <c r="W18" s="389"/>
      <c r="X18" s="389"/>
      <c r="Y18" s="389"/>
      <c r="Z18" s="389"/>
      <c r="AA18" s="389"/>
    </row>
    <row r="19" spans="1:27" s="508" customFormat="1" ht="24.75" customHeight="1">
      <c r="A19" s="509" t="s">
        <v>68</v>
      </c>
      <c r="B19" s="511">
        <f>SUM(B20:B22)</f>
        <v>5141624</v>
      </c>
      <c r="C19" s="511">
        <f>SUM(C20:C22)</f>
        <v>8848654</v>
      </c>
      <c r="D19" s="511">
        <f>SUM(D20:D22)</f>
        <v>-3707030</v>
      </c>
      <c r="E19" s="512">
        <f>+B19/C19-1</f>
        <v>-0.41893716264643188</v>
      </c>
      <c r="F19" s="511">
        <f>+F20+F22</f>
        <v>0</v>
      </c>
      <c r="G19" s="511">
        <f>+G20+G22</f>
        <v>0</v>
      </c>
      <c r="H19" s="389"/>
      <c r="I19" s="593"/>
      <c r="N19" s="389"/>
      <c r="O19" s="389"/>
      <c r="P19" s="389"/>
      <c r="Q19" s="389"/>
      <c r="R19" s="389"/>
      <c r="S19" s="389"/>
      <c r="T19" s="389"/>
      <c r="U19" s="389"/>
      <c r="V19" s="389"/>
      <c r="W19" s="389"/>
      <c r="X19" s="389"/>
      <c r="Y19" s="389"/>
      <c r="Z19" s="389"/>
      <c r="AA19" s="389"/>
    </row>
    <row r="20" spans="1:27" s="508" customFormat="1" ht="15.75">
      <c r="A20" s="513" t="s">
        <v>548</v>
      </c>
      <c r="B20" s="593">
        <v>2809724</v>
      </c>
      <c r="C20" s="514">
        <v>6516754</v>
      </c>
      <c r="D20" s="515">
        <f>+B20-C20</f>
        <v>-3707030</v>
      </c>
      <c r="E20" s="516">
        <f>IF(C20=0,0,D20/C20)</f>
        <v>-0.56884608502944867</v>
      </c>
      <c r="F20" s="518"/>
      <c r="G20" s="518"/>
      <c r="H20" s="389"/>
      <c r="I20" s="593"/>
      <c r="J20" s="521"/>
      <c r="N20" s="389"/>
      <c r="O20" s="389"/>
      <c r="P20" s="389"/>
      <c r="Q20" s="389"/>
      <c r="R20" s="389"/>
      <c r="S20" s="389"/>
      <c r="T20" s="389"/>
      <c r="U20" s="389"/>
      <c r="V20" s="389"/>
      <c r="W20" s="389"/>
      <c r="X20" s="389"/>
      <c r="Y20" s="389"/>
      <c r="Z20" s="389"/>
      <c r="AA20" s="389"/>
    </row>
    <row r="21" spans="1:27" s="508" customFormat="1" ht="15.75">
      <c r="A21" s="513" t="s">
        <v>1020</v>
      </c>
      <c r="B21" s="593">
        <v>2237200</v>
      </c>
      <c r="C21" s="514">
        <v>2237200</v>
      </c>
      <c r="D21" s="515">
        <f>+B21-C21</f>
        <v>0</v>
      </c>
      <c r="E21" s="516">
        <f>IF(C21=0,0,D21/C21)</f>
        <v>0</v>
      </c>
      <c r="F21" s="518"/>
      <c r="G21" s="518"/>
      <c r="H21" s="389"/>
      <c r="I21" s="593"/>
      <c r="J21" s="521"/>
      <c r="N21" s="389"/>
      <c r="O21" s="389"/>
      <c r="P21" s="389"/>
      <c r="Q21" s="389"/>
      <c r="R21" s="389"/>
      <c r="S21" s="389"/>
      <c r="T21" s="389"/>
      <c r="U21" s="389"/>
      <c r="V21" s="389"/>
      <c r="W21" s="389"/>
      <c r="X21" s="389"/>
      <c r="Y21" s="389"/>
      <c r="Z21" s="389"/>
      <c r="AA21" s="389"/>
    </row>
    <row r="22" spans="1:27" s="508" customFormat="1" ht="15.75">
      <c r="A22" s="513" t="s">
        <v>686</v>
      </c>
      <c r="B22" s="593">
        <v>94700</v>
      </c>
      <c r="C22" s="514">
        <v>94700</v>
      </c>
      <c r="D22" s="515">
        <f>+B22-C22</f>
        <v>0</v>
      </c>
      <c r="E22" s="516">
        <f>IF(C22=0,0,D22/C22)</f>
        <v>0</v>
      </c>
      <c r="F22" s="518"/>
      <c r="G22" s="518"/>
      <c r="H22" s="389"/>
      <c r="I22" s="593"/>
      <c r="N22" s="389"/>
      <c r="O22" s="389"/>
      <c r="P22" s="389"/>
      <c r="Q22" s="389"/>
      <c r="R22" s="389"/>
      <c r="S22" s="389"/>
      <c r="T22" s="389"/>
      <c r="U22" s="389"/>
      <c r="V22" s="389"/>
      <c r="W22" s="389"/>
      <c r="X22" s="389"/>
      <c r="Y22" s="389"/>
      <c r="Z22" s="389"/>
      <c r="AA22" s="389"/>
    </row>
    <row r="23" spans="1:27" s="508" customFormat="1" ht="25.5" customHeight="1">
      <c r="A23" s="509" t="s">
        <v>77</v>
      </c>
      <c r="B23" s="511">
        <f>SUM(B24:B24)</f>
        <v>10722673</v>
      </c>
      <c r="C23" s="511">
        <f>SUM(C24:C24)</f>
        <v>14296896</v>
      </c>
      <c r="D23" s="511">
        <f>SUM(D24:D24)</f>
        <v>-3574223</v>
      </c>
      <c r="E23" s="512">
        <f>+B23/C23-1</f>
        <v>-0.24999993005474752</v>
      </c>
      <c r="F23" s="511">
        <f>SUM(F24:F24)</f>
        <v>0</v>
      </c>
      <c r="G23" s="511">
        <f>SUM(G24:G24)</f>
        <v>0</v>
      </c>
      <c r="H23" s="389"/>
      <c r="I23" s="593"/>
      <c r="N23" s="389"/>
      <c r="O23" s="389"/>
      <c r="P23" s="389"/>
      <c r="Q23" s="389"/>
      <c r="R23" s="389"/>
      <c r="S23" s="389"/>
      <c r="T23" s="389"/>
      <c r="U23" s="389"/>
      <c r="V23" s="389"/>
      <c r="W23" s="389"/>
      <c r="X23" s="389"/>
      <c r="Y23" s="389"/>
      <c r="Z23" s="389"/>
      <c r="AA23" s="389"/>
    </row>
    <row r="24" spans="1:27" s="508" customFormat="1" ht="17.25" customHeight="1">
      <c r="A24" s="526" t="s">
        <v>78</v>
      </c>
      <c r="B24" s="593">
        <v>10722673</v>
      </c>
      <c r="C24" s="514">
        <v>14296896</v>
      </c>
      <c r="D24" s="515">
        <f>+B24-C24</f>
        <v>-3574223</v>
      </c>
      <c r="E24" s="516">
        <f>IF(C24=0,0,D24/C24)</f>
        <v>-0.24999993005474755</v>
      </c>
      <c r="F24" s="524"/>
      <c r="G24" s="524"/>
      <c r="H24" s="389"/>
      <c r="I24" s="593"/>
      <c r="N24" s="389"/>
      <c r="O24" s="389"/>
      <c r="P24" s="389"/>
      <c r="Q24" s="389"/>
      <c r="R24" s="389"/>
      <c r="S24" s="389"/>
      <c r="T24" s="389"/>
      <c r="U24" s="389"/>
      <c r="V24" s="389"/>
      <c r="W24" s="389"/>
      <c r="X24" s="389"/>
      <c r="Y24" s="389"/>
      <c r="Z24" s="389"/>
      <c r="AA24" s="389"/>
    </row>
    <row r="25" spans="1:27" s="508" customFormat="1" ht="22.5" customHeight="1">
      <c r="A25" s="510" t="s">
        <v>3</v>
      </c>
      <c r="B25" s="525">
        <f>+B8+B11+B12+B18+B19+B23</f>
        <v>318382844.9799999</v>
      </c>
      <c r="C25" s="525">
        <f>+C8+C11+C12+C18+C19+C23</f>
        <v>270696259.90999985</v>
      </c>
      <c r="D25" s="525">
        <f>+D8+D11+D12+D18+D19+D23</f>
        <v>47686585.070000052</v>
      </c>
      <c r="E25" s="512">
        <f>+B25/C25-1</f>
        <v>0.17616270385802424</v>
      </c>
      <c r="F25" s="525" t="e">
        <f>+F8+F11+F12+F18+#REF!+F19+#REF!+#REF!+F23</f>
        <v>#REF!</v>
      </c>
      <c r="G25" s="525" t="e">
        <f>+G8+G11+G12+G18+#REF!+G19+#REF!+#REF!+G23</f>
        <v>#REF!</v>
      </c>
      <c r="H25" s="389"/>
      <c r="I25" s="593"/>
      <c r="J25" s="543"/>
      <c r="N25" s="389"/>
      <c r="O25" s="389"/>
      <c r="P25" s="389"/>
      <c r="Q25" s="389"/>
      <c r="R25" s="389"/>
      <c r="S25" s="389"/>
      <c r="T25" s="389"/>
      <c r="U25" s="389"/>
      <c r="V25" s="389"/>
      <c r="W25" s="389"/>
      <c r="X25" s="389"/>
      <c r="Y25" s="389"/>
      <c r="Z25" s="389"/>
      <c r="AA25" s="389"/>
    </row>
    <row r="26" spans="1:27" s="508" customFormat="1" ht="15.75">
      <c r="A26" s="513"/>
      <c r="B26" s="518"/>
      <c r="C26" s="518"/>
      <c r="D26" s="529"/>
      <c r="F26" s="518"/>
      <c r="G26" s="518"/>
      <c r="H26" s="389"/>
      <c r="I26" s="593"/>
      <c r="N26" s="389"/>
      <c r="O26" s="389"/>
      <c r="P26" s="389"/>
      <c r="Q26" s="389"/>
      <c r="R26" s="389"/>
      <c r="S26" s="389"/>
      <c r="T26" s="389"/>
      <c r="U26" s="389"/>
      <c r="V26" s="389"/>
      <c r="W26" s="389"/>
      <c r="X26" s="389"/>
      <c r="Y26" s="389"/>
      <c r="Z26" s="389"/>
      <c r="AA26" s="389"/>
    </row>
    <row r="27" spans="1:27" s="508" customFormat="1" ht="12.75" customHeight="1">
      <c r="A27" s="506" t="s">
        <v>4</v>
      </c>
      <c r="B27" s="518"/>
      <c r="C27" s="518"/>
      <c r="E27" s="519"/>
      <c r="F27" s="518"/>
      <c r="G27" s="518"/>
      <c r="H27" s="389"/>
      <c r="I27" s="593"/>
      <c r="N27" s="389"/>
      <c r="O27" s="389"/>
      <c r="P27" s="389"/>
      <c r="Q27" s="389"/>
      <c r="R27" s="389"/>
      <c r="S27" s="389"/>
      <c r="T27" s="389"/>
      <c r="U27" s="389"/>
      <c r="V27" s="389"/>
      <c r="W27" s="389"/>
      <c r="X27" s="389"/>
      <c r="Y27" s="389"/>
      <c r="Z27" s="389"/>
      <c r="AA27" s="389"/>
    </row>
    <row r="28" spans="1:27" s="508" customFormat="1" ht="25.5" customHeight="1">
      <c r="A28" s="530" t="s">
        <v>5</v>
      </c>
      <c r="B28" s="525">
        <f>SUM(B29:B41)</f>
        <v>61746226</v>
      </c>
      <c r="C28" s="525">
        <f>SUM(C29:C41)</f>
        <v>27618699</v>
      </c>
      <c r="D28" s="525">
        <f>+B28-C28</f>
        <v>34127527</v>
      </c>
      <c r="E28" s="512">
        <f>+B28/C28-1</f>
        <v>1.23566743676087</v>
      </c>
      <c r="F28" s="525">
        <f>SUM(F29:F31)</f>
        <v>0</v>
      </c>
      <c r="G28" s="525">
        <f>SUM(G29:G31)</f>
        <v>0</v>
      </c>
      <c r="H28" s="389"/>
      <c r="I28" s="593"/>
      <c r="J28" s="531"/>
      <c r="N28" s="389"/>
      <c r="O28" s="389"/>
      <c r="P28" s="389"/>
      <c r="Q28" s="389"/>
      <c r="R28" s="389"/>
      <c r="S28" s="389"/>
      <c r="T28" s="389"/>
      <c r="U28" s="389"/>
      <c r="V28" s="389"/>
      <c r="W28" s="389"/>
      <c r="X28" s="389"/>
      <c r="Y28" s="389"/>
      <c r="Z28" s="389"/>
      <c r="AA28" s="389"/>
    </row>
    <row r="29" spans="1:27" s="508" customFormat="1" ht="15.75">
      <c r="A29" s="513" t="s">
        <v>6</v>
      </c>
      <c r="B29" s="593">
        <v>831130</v>
      </c>
      <c r="C29" s="514"/>
      <c r="D29" s="515">
        <f t="shared" ref="D29:D41" si="3">+B29-C29</f>
        <v>831130</v>
      </c>
      <c r="E29" s="516">
        <f t="shared" ref="E29:E41" si="4">IF(C29=0,0,D29/C29)</f>
        <v>0</v>
      </c>
      <c r="F29" s="518"/>
      <c r="G29" s="518"/>
      <c r="H29" s="389"/>
      <c r="I29" s="593"/>
      <c r="N29" s="389"/>
      <c r="O29" s="389"/>
      <c r="P29" s="389"/>
      <c r="Q29" s="389"/>
      <c r="R29" s="389"/>
      <c r="S29" s="389"/>
      <c r="T29" s="389"/>
      <c r="U29" s="389"/>
      <c r="V29" s="389"/>
      <c r="W29" s="389"/>
      <c r="X29" s="389"/>
      <c r="Y29" s="389"/>
      <c r="Z29" s="389"/>
      <c r="AA29" s="389"/>
    </row>
    <row r="30" spans="1:27" s="508" customFormat="1" ht="15.75">
      <c r="A30" s="513" t="s">
        <v>515</v>
      </c>
      <c r="B30" s="593">
        <v>2499000</v>
      </c>
      <c r="C30" s="514">
        <v>2499000</v>
      </c>
      <c r="D30" s="515">
        <f t="shared" si="3"/>
        <v>0</v>
      </c>
      <c r="E30" s="516">
        <f t="shared" si="4"/>
        <v>0</v>
      </c>
      <c r="F30" s="518"/>
      <c r="G30" s="518"/>
      <c r="H30" s="389"/>
      <c r="I30" s="593"/>
      <c r="N30" s="389"/>
      <c r="O30" s="389"/>
      <c r="P30" s="389"/>
      <c r="Q30" s="389"/>
      <c r="R30" s="389"/>
      <c r="S30" s="389"/>
      <c r="T30" s="389"/>
      <c r="U30" s="389"/>
      <c r="V30" s="389"/>
      <c r="W30" s="389"/>
      <c r="X30" s="389"/>
      <c r="Y30" s="389"/>
      <c r="Z30" s="389"/>
      <c r="AA30" s="389"/>
    </row>
    <row r="31" spans="1:27" s="508" customFormat="1" ht="15.75">
      <c r="A31" s="513" t="s">
        <v>81</v>
      </c>
      <c r="B31" s="593">
        <v>4451000</v>
      </c>
      <c r="C31" s="514">
        <v>5789000</v>
      </c>
      <c r="D31" s="515">
        <f t="shared" si="3"/>
        <v>-1338000</v>
      </c>
      <c r="E31" s="516">
        <f t="shared" si="4"/>
        <v>-0.23112800138193124</v>
      </c>
      <c r="F31" s="518"/>
      <c r="G31" s="518"/>
      <c r="H31" s="389"/>
      <c r="I31" s="593"/>
      <c r="N31" s="389"/>
      <c r="O31" s="389"/>
      <c r="P31" s="389"/>
      <c r="Q31" s="389"/>
      <c r="R31" s="389"/>
      <c r="S31" s="389"/>
      <c r="T31" s="389"/>
      <c r="U31" s="389"/>
      <c r="V31" s="389"/>
      <c r="W31" s="389"/>
      <c r="X31" s="389"/>
      <c r="Y31" s="389"/>
      <c r="Z31" s="389"/>
      <c r="AA31" s="389"/>
    </row>
    <row r="32" spans="1:27" s="508" customFormat="1" ht="15.75">
      <c r="A32" s="513" t="str">
        <f>+[3]dic19!A39</f>
        <v>Asistente Administrativa</v>
      </c>
      <c r="B32" s="593">
        <v>1851519</v>
      </c>
      <c r="C32" s="514">
        <v>1851519</v>
      </c>
      <c r="D32" s="515">
        <f t="shared" si="3"/>
        <v>0</v>
      </c>
      <c r="E32" s="516">
        <f t="shared" si="4"/>
        <v>0</v>
      </c>
      <c r="F32" s="518"/>
      <c r="G32" s="518"/>
      <c r="H32" s="389"/>
      <c r="I32" s="593"/>
      <c r="N32" s="389"/>
      <c r="O32" s="389"/>
      <c r="P32" s="389"/>
      <c r="Q32" s="389"/>
      <c r="R32" s="389"/>
      <c r="S32" s="389"/>
      <c r="T32" s="389"/>
      <c r="U32" s="389"/>
      <c r="V32" s="389"/>
      <c r="W32" s="389"/>
      <c r="X32" s="389"/>
      <c r="Y32" s="389"/>
      <c r="Z32" s="389"/>
      <c r="AA32" s="389"/>
    </row>
    <row r="33" spans="1:27" s="508" customFormat="1" ht="15.75">
      <c r="A33" s="513" t="s">
        <v>83</v>
      </c>
      <c r="B33" s="593">
        <v>32987648</v>
      </c>
      <c r="C33" s="514">
        <v>0</v>
      </c>
      <c r="D33" s="515">
        <f t="shared" si="3"/>
        <v>32987648</v>
      </c>
      <c r="E33" s="516">
        <f t="shared" si="4"/>
        <v>0</v>
      </c>
      <c r="F33" s="518"/>
      <c r="G33" s="518"/>
      <c r="H33" s="389"/>
      <c r="I33" s="593"/>
      <c r="N33" s="389"/>
      <c r="O33" s="389"/>
      <c r="P33" s="389"/>
      <c r="Q33" s="389"/>
      <c r="R33" s="389"/>
      <c r="S33" s="389"/>
      <c r="T33" s="389"/>
      <c r="U33" s="389"/>
      <c r="V33" s="389"/>
      <c r="W33" s="389"/>
      <c r="X33" s="389"/>
      <c r="Y33" s="389"/>
      <c r="Z33" s="389"/>
      <c r="AA33" s="389"/>
    </row>
    <row r="34" spans="1:27" s="508" customFormat="1" ht="15.75">
      <c r="A34" s="513" t="s">
        <v>684</v>
      </c>
      <c r="B34" s="593">
        <f>1153613+7809723</f>
        <v>8963336</v>
      </c>
      <c r="C34" s="514">
        <v>7497335</v>
      </c>
      <c r="D34" s="515">
        <f t="shared" si="3"/>
        <v>1466001</v>
      </c>
      <c r="E34" s="516">
        <f t="shared" si="4"/>
        <v>0.19553628055835839</v>
      </c>
      <c r="F34" s="518"/>
      <c r="G34" s="518"/>
      <c r="H34" s="389"/>
      <c r="I34" s="593"/>
      <c r="N34" s="389"/>
      <c r="O34" s="389"/>
      <c r="P34" s="389"/>
      <c r="Q34" s="389"/>
      <c r="R34" s="389"/>
      <c r="S34" s="389"/>
      <c r="T34" s="389"/>
      <c r="U34" s="389"/>
      <c r="V34" s="389"/>
      <c r="W34" s="389"/>
      <c r="X34" s="389"/>
      <c r="Y34" s="389"/>
      <c r="Z34" s="389"/>
      <c r="AA34" s="389"/>
    </row>
    <row r="35" spans="1:27" s="508" customFormat="1" ht="15.75">
      <c r="A35" s="513" t="s">
        <v>563</v>
      </c>
      <c r="B35" s="514"/>
      <c r="C35" s="514">
        <v>2512474</v>
      </c>
      <c r="D35" s="515">
        <f t="shared" si="3"/>
        <v>-2512474</v>
      </c>
      <c r="E35" s="516">
        <f t="shared" si="4"/>
        <v>-1</v>
      </c>
      <c r="F35" s="518"/>
      <c r="G35" s="518"/>
      <c r="H35" s="389"/>
      <c r="I35" s="593"/>
      <c r="N35" s="389"/>
      <c r="O35" s="389"/>
      <c r="P35" s="389"/>
      <c r="Q35" s="389"/>
      <c r="R35" s="389"/>
      <c r="S35" s="389"/>
      <c r="T35" s="389"/>
      <c r="U35" s="389"/>
      <c r="V35" s="389"/>
      <c r="W35" s="389"/>
      <c r="X35" s="389"/>
      <c r="Y35" s="389"/>
      <c r="Z35" s="389"/>
      <c r="AA35" s="389"/>
    </row>
    <row r="36" spans="1:27" s="508" customFormat="1" ht="15.75">
      <c r="A36" s="513" t="s">
        <v>86</v>
      </c>
      <c r="B36" s="593">
        <v>270588</v>
      </c>
      <c r="C36" s="514">
        <v>270588</v>
      </c>
      <c r="D36" s="515">
        <f t="shared" si="3"/>
        <v>0</v>
      </c>
      <c r="E36" s="516">
        <f t="shared" si="4"/>
        <v>0</v>
      </c>
      <c r="F36" s="518"/>
      <c r="G36" s="518"/>
      <c r="H36" s="389"/>
      <c r="I36" s="593"/>
      <c r="N36" s="389"/>
      <c r="O36" s="389"/>
      <c r="P36" s="389"/>
      <c r="Q36" s="389"/>
      <c r="R36" s="389"/>
      <c r="S36" s="389"/>
      <c r="T36" s="389"/>
      <c r="U36" s="389"/>
      <c r="V36" s="389"/>
      <c r="W36" s="389"/>
      <c r="X36" s="389"/>
      <c r="Y36" s="389"/>
      <c r="Z36" s="389"/>
      <c r="AA36" s="389"/>
    </row>
    <row r="37" spans="1:27" s="508" customFormat="1" ht="15.75">
      <c r="A37" s="513" t="s">
        <v>177</v>
      </c>
      <c r="B37" s="514"/>
      <c r="C37" s="514"/>
      <c r="D37" s="515">
        <f t="shared" si="3"/>
        <v>0</v>
      </c>
      <c r="E37" s="516">
        <f t="shared" si="4"/>
        <v>0</v>
      </c>
      <c r="F37" s="518"/>
      <c r="G37" s="518"/>
      <c r="H37" s="389"/>
      <c r="I37" s="593"/>
      <c r="N37" s="389"/>
      <c r="O37" s="389"/>
      <c r="P37" s="389"/>
      <c r="Q37" s="389"/>
      <c r="R37" s="389"/>
      <c r="S37" s="389"/>
      <c r="T37" s="389"/>
      <c r="U37" s="389"/>
      <c r="V37" s="389"/>
      <c r="W37" s="389"/>
      <c r="X37" s="389"/>
      <c r="Y37" s="389"/>
      <c r="Z37" s="389"/>
      <c r="AA37" s="389"/>
    </row>
    <row r="38" spans="1:27" s="508" customFormat="1" ht="15.75">
      <c r="A38" s="513" t="str">
        <f>+[3]dic19!A46</f>
        <v>Mant locativos</v>
      </c>
      <c r="B38" s="593">
        <f>4261800+658000</f>
        <v>4919800</v>
      </c>
      <c r="C38" s="514">
        <v>6428542</v>
      </c>
      <c r="D38" s="515">
        <f t="shared" si="3"/>
        <v>-1508742</v>
      </c>
      <c r="E38" s="516">
        <f t="shared" si="4"/>
        <v>-0.23469427437823381</v>
      </c>
      <c r="F38" s="518"/>
      <c r="G38" s="518"/>
      <c r="H38" s="389"/>
      <c r="I38" s="593"/>
      <c r="N38" s="389"/>
      <c r="O38" s="389"/>
      <c r="P38" s="389"/>
      <c r="Q38" s="389"/>
      <c r="R38" s="389"/>
      <c r="S38" s="389"/>
      <c r="T38" s="389"/>
      <c r="U38" s="389"/>
      <c r="V38" s="389"/>
      <c r="W38" s="389"/>
      <c r="X38" s="389"/>
      <c r="Y38" s="389"/>
      <c r="Z38" s="389"/>
      <c r="AA38" s="389"/>
    </row>
    <row r="39" spans="1:27" s="508" customFormat="1" ht="15.75">
      <c r="A39" s="513" t="s">
        <v>1028</v>
      </c>
      <c r="B39" s="593">
        <f>446500+831900+533800</f>
        <v>1812200</v>
      </c>
      <c r="C39" s="514">
        <v>289990</v>
      </c>
      <c r="D39" s="515">
        <f t="shared" si="3"/>
        <v>1522210</v>
      </c>
      <c r="E39" s="516">
        <f t="shared" si="4"/>
        <v>5.2491810062415949</v>
      </c>
      <c r="F39" s="518"/>
      <c r="G39" s="518"/>
      <c r="H39" s="389"/>
      <c r="I39" s="593"/>
      <c r="N39" s="389"/>
      <c r="O39" s="389"/>
      <c r="P39" s="389"/>
      <c r="Q39" s="389"/>
      <c r="R39" s="389"/>
      <c r="S39" s="389"/>
      <c r="T39" s="389"/>
      <c r="U39" s="389"/>
      <c r="V39" s="389"/>
      <c r="W39" s="389"/>
      <c r="X39" s="389"/>
      <c r="Y39" s="389"/>
      <c r="Z39" s="389"/>
      <c r="AA39" s="389"/>
    </row>
    <row r="40" spans="1:27" s="508" customFormat="1" ht="15.75">
      <c r="A40" s="513" t="s">
        <v>550</v>
      </c>
      <c r="B40" s="593">
        <f>561160+1778500+63650</f>
        <v>2403310</v>
      </c>
      <c r="C40" s="514">
        <v>336000</v>
      </c>
      <c r="D40" s="515">
        <f t="shared" si="3"/>
        <v>2067310</v>
      </c>
      <c r="E40" s="516">
        <f t="shared" si="4"/>
        <v>6.152708333333333</v>
      </c>
      <c r="F40" s="518"/>
      <c r="G40" s="518"/>
      <c r="H40" s="389"/>
      <c r="I40" s="593"/>
      <c r="N40" s="389"/>
      <c r="O40" s="389"/>
      <c r="P40" s="389"/>
      <c r="Q40" s="389"/>
      <c r="R40" s="389"/>
      <c r="S40" s="389"/>
      <c r="T40" s="389"/>
      <c r="U40" s="389"/>
      <c r="V40" s="389"/>
      <c r="W40" s="389"/>
      <c r="X40" s="389"/>
      <c r="Y40" s="389"/>
      <c r="Z40" s="389"/>
      <c r="AA40" s="389"/>
    </row>
    <row r="41" spans="1:27" s="508" customFormat="1" ht="16.5" customHeight="1">
      <c r="A41" s="513" t="s">
        <v>82</v>
      </c>
      <c r="B41" s="593">
        <v>756695</v>
      </c>
      <c r="C41" s="514">
        <v>144251</v>
      </c>
      <c r="D41" s="515">
        <f t="shared" si="3"/>
        <v>612444</v>
      </c>
      <c r="E41" s="516">
        <f t="shared" si="4"/>
        <v>4.2456828722157907</v>
      </c>
      <c r="F41" s="518"/>
      <c r="G41" s="518"/>
      <c r="H41" s="389"/>
      <c r="I41" s="593"/>
      <c r="N41" s="389"/>
      <c r="O41" s="389"/>
      <c r="P41" s="389"/>
      <c r="Q41" s="389"/>
      <c r="R41" s="389"/>
      <c r="S41" s="389"/>
      <c r="T41" s="389"/>
      <c r="U41" s="389"/>
      <c r="V41" s="389"/>
      <c r="W41" s="389"/>
      <c r="X41" s="389"/>
      <c r="Y41" s="389"/>
      <c r="Z41" s="389"/>
      <c r="AA41" s="389"/>
    </row>
    <row r="42" spans="1:27" s="508" customFormat="1" ht="21.75" customHeight="1">
      <c r="A42" s="530" t="s">
        <v>88</v>
      </c>
      <c r="B42" s="525">
        <f>+B43</f>
        <v>5662900</v>
      </c>
      <c r="C42" s="525">
        <f>+C43</f>
        <v>5905440</v>
      </c>
      <c r="D42" s="525">
        <f>+B42-C42</f>
        <v>-242540</v>
      </c>
      <c r="E42" s="512">
        <f>+B42/C42-1</f>
        <v>-4.1070606085236716E-2</v>
      </c>
      <c r="F42" s="525"/>
      <c r="G42" s="525"/>
      <c r="H42" s="389"/>
      <c r="I42" s="593"/>
      <c r="N42" s="389"/>
      <c r="O42" s="389"/>
      <c r="P42" s="389"/>
      <c r="Q42" s="389"/>
      <c r="R42" s="389"/>
      <c r="S42" s="389"/>
      <c r="T42" s="389"/>
      <c r="U42" s="389"/>
      <c r="V42" s="389"/>
      <c r="W42" s="389"/>
      <c r="X42" s="389"/>
      <c r="Y42" s="389"/>
      <c r="Z42" s="389"/>
      <c r="AA42" s="389"/>
    </row>
    <row r="43" spans="1:27" s="508" customFormat="1" ht="15.75">
      <c r="A43" s="513" t="s">
        <v>62</v>
      </c>
      <c r="B43" s="593">
        <v>5662900</v>
      </c>
      <c r="C43" s="514">
        <v>5905440</v>
      </c>
      <c r="D43" s="515">
        <f>+B43-C43</f>
        <v>-242540</v>
      </c>
      <c r="E43" s="516">
        <f>IF(C43=0,0,D43/C43)</f>
        <v>-4.1070606085236661E-2</v>
      </c>
      <c r="F43" s="518"/>
      <c r="G43" s="518"/>
      <c r="H43" s="389"/>
      <c r="I43" s="593"/>
      <c r="N43" s="389"/>
      <c r="O43" s="389"/>
      <c r="P43" s="389"/>
      <c r="Q43" s="389"/>
      <c r="R43" s="389"/>
      <c r="S43" s="389"/>
      <c r="T43" s="389"/>
      <c r="U43" s="389"/>
      <c r="V43" s="389"/>
      <c r="W43" s="389"/>
      <c r="X43" s="389"/>
      <c r="Y43" s="389"/>
      <c r="Z43" s="389"/>
      <c r="AA43" s="389"/>
    </row>
    <row r="44" spans="1:27" s="508" customFormat="1" ht="24" customHeight="1">
      <c r="A44" s="530" t="s">
        <v>552</v>
      </c>
      <c r="B44" s="525">
        <f>SUM(B45:B45)</f>
        <v>25749</v>
      </c>
      <c r="C44" s="525">
        <f>SUM(C45:C45)</f>
        <v>155736</v>
      </c>
      <c r="D44" s="525">
        <f>SUM(D45:D45)</f>
        <v>-129987</v>
      </c>
      <c r="E44" s="512">
        <f>+B44/C44-1</f>
        <v>-0.83466250577901069</v>
      </c>
      <c r="F44" s="525" t="e">
        <f>SUM(#REF!)</f>
        <v>#REF!</v>
      </c>
      <c r="G44" s="525" t="e">
        <f>SUM(#REF!)</f>
        <v>#REF!</v>
      </c>
      <c r="H44" s="389"/>
      <c r="I44" s="593"/>
      <c r="N44" s="389"/>
      <c r="O44" s="389"/>
      <c r="P44" s="389"/>
      <c r="Q44" s="389"/>
      <c r="R44" s="389"/>
      <c r="S44" s="389"/>
      <c r="T44" s="389"/>
      <c r="U44" s="389"/>
      <c r="V44" s="389"/>
      <c r="W44" s="389"/>
      <c r="X44" s="389"/>
      <c r="Y44" s="389"/>
      <c r="Z44" s="389"/>
      <c r="AA44" s="389"/>
    </row>
    <row r="45" spans="1:27" s="508" customFormat="1" ht="15.75">
      <c r="A45" s="513" t="s">
        <v>553</v>
      </c>
      <c r="B45" s="593">
        <v>25749</v>
      </c>
      <c r="C45" s="514">
        <v>155736</v>
      </c>
      <c r="D45" s="515">
        <f>+B45-C45</f>
        <v>-129987</v>
      </c>
      <c r="E45" s="516">
        <f>IF(C45=0,0,D45/C45)</f>
        <v>-0.83466250577901069</v>
      </c>
      <c r="F45" s="518"/>
      <c r="G45" s="518"/>
      <c r="H45" s="389"/>
      <c r="I45" s="593"/>
      <c r="N45" s="389"/>
      <c r="O45" s="389"/>
      <c r="P45" s="389"/>
      <c r="Q45" s="389"/>
      <c r="R45" s="389"/>
      <c r="S45" s="389"/>
      <c r="T45" s="389"/>
      <c r="U45" s="389"/>
      <c r="V45" s="389"/>
      <c r="W45" s="389"/>
      <c r="X45" s="389"/>
      <c r="Y45" s="389"/>
      <c r="Z45" s="389"/>
      <c r="AA45" s="389"/>
    </row>
    <row r="46" spans="1:27" s="508" customFormat="1" ht="22.5" customHeight="1">
      <c r="A46" s="510" t="s">
        <v>7</v>
      </c>
      <c r="B46" s="536">
        <f>+B28+B42+B44</f>
        <v>67434875</v>
      </c>
      <c r="C46" s="536">
        <f>+C28+C42+C44</f>
        <v>33679875</v>
      </c>
      <c r="D46" s="536">
        <f>+D28+D42+D44</f>
        <v>33755000</v>
      </c>
      <c r="E46" s="512">
        <f>+D46/C46</f>
        <v>1.0022305605350377</v>
      </c>
      <c r="F46" s="536" t="e">
        <f>+F28+#REF!+F42+F44</f>
        <v>#REF!</v>
      </c>
      <c r="G46" s="536" t="e">
        <f>+G28+#REF!+G42+G44</f>
        <v>#REF!</v>
      </c>
      <c r="H46" s="389"/>
      <c r="I46" s="593"/>
      <c r="N46" s="389"/>
      <c r="O46" s="389"/>
      <c r="P46" s="389"/>
      <c r="Q46" s="389"/>
      <c r="R46" s="389"/>
      <c r="S46" s="389"/>
      <c r="T46" s="389"/>
      <c r="U46" s="389"/>
      <c r="V46" s="389"/>
      <c r="W46" s="389"/>
      <c r="X46" s="389"/>
      <c r="Y46" s="389"/>
      <c r="Z46" s="389"/>
      <c r="AA46" s="389"/>
    </row>
    <row r="47" spans="1:27" s="508" customFormat="1" ht="15.75">
      <c r="A47" s="513"/>
      <c r="B47" s="518"/>
      <c r="C47" s="518"/>
      <c r="D47" s="524"/>
      <c r="E47" s="519"/>
      <c r="F47" s="518"/>
      <c r="G47" s="518"/>
      <c r="H47" s="389"/>
      <c r="I47" s="593"/>
      <c r="N47" s="389"/>
      <c r="O47" s="389"/>
      <c r="P47" s="389"/>
      <c r="Q47" s="389"/>
      <c r="R47" s="389"/>
      <c r="S47" s="389"/>
      <c r="T47" s="389"/>
      <c r="U47" s="389"/>
      <c r="V47" s="389"/>
      <c r="W47" s="389"/>
      <c r="X47" s="389"/>
      <c r="Y47" s="389"/>
      <c r="Z47" s="389"/>
      <c r="AA47" s="389"/>
    </row>
    <row r="48" spans="1:27" s="508" customFormat="1" ht="27" customHeight="1">
      <c r="A48" s="509" t="s">
        <v>8</v>
      </c>
      <c r="B48" s="536">
        <f>SUM(B49:B56)</f>
        <v>250947969.44</v>
      </c>
      <c r="C48" s="536">
        <f>SUM(C49:C56)</f>
        <v>237016384.44</v>
      </c>
      <c r="D48" s="536">
        <f>SUM(D49:D56)</f>
        <v>13931585</v>
      </c>
      <c r="E48" s="512">
        <f>+B48/C48-1</f>
        <v>5.8778995523521393E-2</v>
      </c>
      <c r="F48" s="536">
        <f>SUM(F49:F55)</f>
        <v>0</v>
      </c>
      <c r="G48" s="536">
        <f>SUM(G49:G55)</f>
        <v>0</v>
      </c>
      <c r="H48" s="389"/>
      <c r="I48" s="593"/>
      <c r="N48" s="389"/>
      <c r="O48" s="389"/>
      <c r="P48" s="389"/>
      <c r="Q48" s="389"/>
      <c r="R48" s="389"/>
      <c r="S48" s="389"/>
      <c r="T48" s="389"/>
      <c r="U48" s="389"/>
      <c r="V48" s="389"/>
      <c r="W48" s="389"/>
      <c r="X48" s="389"/>
      <c r="Y48" s="389"/>
      <c r="Z48" s="389"/>
      <c r="AA48" s="389"/>
    </row>
    <row r="49" spans="1:27" s="508" customFormat="1" ht="15.75">
      <c r="A49" s="513" t="s">
        <v>554</v>
      </c>
      <c r="B49" s="593">
        <v>21935553.440000001</v>
      </c>
      <c r="C49" s="514">
        <v>21123325.440000001</v>
      </c>
      <c r="D49" s="515">
        <f t="shared" ref="D49:D56" si="5">+B49-C49</f>
        <v>812228</v>
      </c>
      <c r="E49" s="516">
        <f t="shared" ref="E49:E56" si="6">IF(C49=0,0,D49/C49)</f>
        <v>3.8451710754876293E-2</v>
      </c>
      <c r="F49" s="518"/>
      <c r="G49" s="518"/>
      <c r="H49" s="389"/>
      <c r="I49" s="593"/>
      <c r="N49" s="389"/>
      <c r="O49" s="389"/>
      <c r="P49" s="389"/>
      <c r="Q49" s="389"/>
      <c r="R49" s="389"/>
      <c r="S49" s="389"/>
      <c r="T49" s="389"/>
      <c r="U49" s="389"/>
      <c r="V49" s="389"/>
      <c r="W49" s="389"/>
      <c r="X49" s="389"/>
      <c r="Y49" s="389"/>
      <c r="Z49" s="389"/>
      <c r="AA49" s="389"/>
    </row>
    <row r="50" spans="1:27" s="508" customFormat="1" ht="15.75">
      <c r="A50" s="513" t="str">
        <f>+[3]dic19!A54</f>
        <v>Fondo para Mant Sótanos</v>
      </c>
      <c r="B50" s="593">
        <v>0</v>
      </c>
      <c r="C50" s="514">
        <v>385500</v>
      </c>
      <c r="D50" s="515">
        <f t="shared" si="5"/>
        <v>-385500</v>
      </c>
      <c r="E50" s="516">
        <f t="shared" si="6"/>
        <v>-1</v>
      </c>
      <c r="F50" s="518"/>
      <c r="G50" s="518"/>
      <c r="H50" s="823">
        <f>SUM(C50:C53)</f>
        <v>115684387</v>
      </c>
      <c r="I50" s="593"/>
      <c r="N50" s="389"/>
      <c r="O50" s="389"/>
      <c r="P50" s="389"/>
      <c r="Q50" s="389"/>
      <c r="R50" s="389"/>
      <c r="S50" s="389"/>
      <c r="T50" s="389"/>
      <c r="U50" s="389"/>
      <c r="V50" s="389"/>
      <c r="W50" s="389"/>
      <c r="X50" s="389"/>
      <c r="Y50" s="389"/>
      <c r="Z50" s="389"/>
      <c r="AA50" s="389"/>
    </row>
    <row r="51" spans="1:27" s="508" customFormat="1" ht="15.75">
      <c r="A51" s="513" t="s">
        <v>555</v>
      </c>
      <c r="B51" s="593">
        <v>23076631</v>
      </c>
      <c r="C51" s="514">
        <v>27582783</v>
      </c>
      <c r="D51" s="515">
        <f t="shared" si="5"/>
        <v>-4506152</v>
      </c>
      <c r="E51" s="516">
        <f t="shared" si="6"/>
        <v>-0.16336828665910905</v>
      </c>
      <c r="F51" s="518"/>
      <c r="G51" s="518"/>
      <c r="H51" s="389"/>
      <c r="I51" s="593"/>
      <c r="N51" s="389"/>
      <c r="O51" s="389"/>
      <c r="P51" s="389"/>
      <c r="Q51" s="389"/>
      <c r="R51" s="389"/>
      <c r="S51" s="389"/>
      <c r="T51" s="389"/>
      <c r="U51" s="389"/>
      <c r="V51" s="389"/>
      <c r="W51" s="389"/>
      <c r="X51" s="389"/>
      <c r="Y51" s="389"/>
      <c r="Z51" s="389"/>
      <c r="AA51" s="389"/>
    </row>
    <row r="52" spans="1:27" s="508" customFormat="1" ht="15.75">
      <c r="A52" s="513" t="str">
        <f>+[3]dic19!A56</f>
        <v>Fondo para Remodelacion Recepcion</v>
      </c>
      <c r="B52" s="593">
        <f>58303739+8781884</f>
        <v>67085623</v>
      </c>
      <c r="C52" s="514">
        <v>58303739</v>
      </c>
      <c r="D52" s="515">
        <f t="shared" si="5"/>
        <v>8781884</v>
      </c>
      <c r="E52" s="516">
        <f t="shared" si="6"/>
        <v>0.15062299863821771</v>
      </c>
      <c r="F52" s="518"/>
      <c r="G52" s="518"/>
      <c r="H52" s="389"/>
      <c r="I52" s="593"/>
      <c r="N52" s="389"/>
      <c r="O52" s="389"/>
      <c r="P52" s="389"/>
      <c r="Q52" s="389"/>
      <c r="R52" s="389"/>
      <c r="S52" s="389"/>
      <c r="T52" s="389"/>
      <c r="U52" s="389"/>
      <c r="V52" s="389"/>
      <c r="W52" s="389"/>
      <c r="X52" s="389"/>
      <c r="Y52" s="389"/>
      <c r="Z52" s="389"/>
      <c r="AA52" s="389"/>
    </row>
    <row r="53" spans="1:27" s="508" customFormat="1" ht="15.75">
      <c r="A53" s="513" t="str">
        <f>+[3]dic19!A57</f>
        <v>Fondos con Destinacion Específica</v>
      </c>
      <c r="B53" s="593">
        <v>29412365</v>
      </c>
      <c r="C53" s="514">
        <v>29412365</v>
      </c>
      <c r="D53" s="515">
        <f t="shared" si="5"/>
        <v>0</v>
      </c>
      <c r="E53" s="516">
        <f t="shared" si="6"/>
        <v>0</v>
      </c>
      <c r="F53" s="518"/>
      <c r="G53" s="518"/>
      <c r="H53" s="389"/>
      <c r="I53" s="593"/>
      <c r="N53" s="389"/>
      <c r="O53" s="389"/>
      <c r="P53" s="389"/>
      <c r="Q53" s="389"/>
      <c r="R53" s="389"/>
      <c r="S53" s="389"/>
      <c r="T53" s="389"/>
      <c r="U53" s="389"/>
      <c r="V53" s="389"/>
      <c r="W53" s="389"/>
      <c r="X53" s="389"/>
      <c r="Y53" s="389"/>
      <c r="Z53" s="389"/>
      <c r="AA53" s="389"/>
    </row>
    <row r="54" spans="1:27" s="508" customFormat="1" ht="15.75">
      <c r="A54" s="513"/>
      <c r="B54" s="514">
        <v>0</v>
      </c>
      <c r="C54" s="514"/>
      <c r="D54" s="515"/>
      <c r="E54" s="516"/>
      <c r="F54" s="518"/>
      <c r="G54" s="518"/>
      <c r="H54" s="389"/>
      <c r="I54" s="593"/>
      <c r="N54" s="389"/>
      <c r="O54" s="389"/>
      <c r="P54" s="389"/>
      <c r="Q54" s="389"/>
      <c r="R54" s="389"/>
      <c r="S54" s="389"/>
      <c r="T54" s="389"/>
      <c r="U54" s="389"/>
      <c r="V54" s="389"/>
      <c r="W54" s="389"/>
      <c r="X54" s="389"/>
      <c r="Y54" s="389"/>
      <c r="Z54" s="389"/>
      <c r="AA54" s="389"/>
    </row>
    <row r="55" spans="1:27" s="508" customFormat="1" ht="15.75">
      <c r="A55" s="513" t="s">
        <v>556</v>
      </c>
      <c r="B55" s="593">
        <v>62975326</v>
      </c>
      <c r="C55" s="514">
        <v>53746201</v>
      </c>
      <c r="D55" s="515">
        <f t="shared" si="5"/>
        <v>9229125</v>
      </c>
      <c r="E55" s="516">
        <f t="shared" si="6"/>
        <v>0.17171678794562614</v>
      </c>
      <c r="F55" s="518"/>
      <c r="G55" s="518"/>
      <c r="H55" s="389"/>
      <c r="I55" s="593"/>
      <c r="N55" s="389"/>
      <c r="O55" s="389"/>
      <c r="P55" s="389"/>
      <c r="Q55" s="389"/>
      <c r="R55" s="389"/>
      <c r="S55" s="389"/>
      <c r="T55" s="389"/>
      <c r="U55" s="389"/>
      <c r="V55" s="389"/>
      <c r="W55" s="389"/>
      <c r="X55" s="389"/>
      <c r="Y55" s="389"/>
      <c r="Z55" s="389"/>
      <c r="AA55" s="389"/>
    </row>
    <row r="56" spans="1:27" s="508" customFormat="1" ht="15.75">
      <c r="A56" s="513" t="str">
        <f>+[3]dic19!A59</f>
        <v>Resultados ejercicios anteriores</v>
      </c>
      <c r="B56" s="514">
        <v>46462471</v>
      </c>
      <c r="C56" s="514">
        <v>46462471</v>
      </c>
      <c r="D56" s="515">
        <f t="shared" si="5"/>
        <v>0</v>
      </c>
      <c r="E56" s="516">
        <f t="shared" si="6"/>
        <v>0</v>
      </c>
      <c r="F56" s="518"/>
      <c r="G56" s="518"/>
      <c r="H56" s="389"/>
      <c r="I56" s="593"/>
      <c r="N56" s="389"/>
      <c r="O56" s="389"/>
      <c r="P56" s="389"/>
      <c r="Q56" s="389"/>
      <c r="R56" s="389"/>
      <c r="S56" s="389"/>
      <c r="T56" s="389"/>
      <c r="U56" s="389"/>
      <c r="V56" s="389"/>
      <c r="W56" s="389"/>
      <c r="X56" s="389"/>
      <c r="Y56" s="389"/>
      <c r="Z56" s="389"/>
      <c r="AA56" s="389"/>
    </row>
    <row r="57" spans="1:27" s="508" customFormat="1" ht="36.75" customHeight="1">
      <c r="A57" s="509" t="s">
        <v>9</v>
      </c>
      <c r="B57" s="536">
        <f>+B48+B46</f>
        <v>318382844.44</v>
      </c>
      <c r="C57" s="536">
        <f>+C48+C46</f>
        <v>270696259.44</v>
      </c>
      <c r="D57" s="536">
        <f>+D48+D46</f>
        <v>47686585</v>
      </c>
      <c r="E57" s="512">
        <f>+B57/C57-1</f>
        <v>0.17616270390529642</v>
      </c>
      <c r="F57" s="536" t="e">
        <f>+F48+F46</f>
        <v>#REF!</v>
      </c>
      <c r="G57" s="536" t="e">
        <f>+G48+G46</f>
        <v>#REF!</v>
      </c>
      <c r="H57" s="389"/>
      <c r="I57" s="593"/>
      <c r="N57" s="389"/>
      <c r="O57" s="389"/>
      <c r="P57" s="389"/>
      <c r="Q57" s="389"/>
      <c r="R57" s="389"/>
      <c r="S57" s="389"/>
      <c r="T57" s="389"/>
      <c r="U57" s="389"/>
      <c r="V57" s="389"/>
      <c r="W57" s="389"/>
      <c r="X57" s="389"/>
      <c r="Y57" s="389"/>
      <c r="Z57" s="389"/>
      <c r="AA57" s="389"/>
    </row>
    <row r="58" spans="1:27" s="508" customFormat="1" ht="15.75">
      <c r="A58" s="513"/>
      <c r="B58" s="538">
        <f>+B25-B57</f>
        <v>0.53999990224838257</v>
      </c>
      <c r="C58" s="538">
        <f>+C25-C57</f>
        <v>0.46999984979629517</v>
      </c>
      <c r="D58" s="538"/>
      <c r="F58" s="538"/>
      <c r="G58" s="538"/>
      <c r="H58" s="389"/>
      <c r="I58" s="593"/>
      <c r="N58" s="389"/>
      <c r="O58" s="389"/>
      <c r="P58" s="389"/>
      <c r="Q58" s="389"/>
      <c r="R58" s="389"/>
      <c r="S58" s="389"/>
      <c r="T58" s="389"/>
      <c r="U58" s="389"/>
      <c r="V58" s="389"/>
      <c r="W58" s="389"/>
      <c r="X58" s="389"/>
      <c r="Y58" s="389"/>
      <c r="Z58" s="389"/>
      <c r="AA58" s="389"/>
    </row>
    <row r="59" spans="1:27" s="508" customFormat="1" ht="4.5" customHeight="1">
      <c r="B59" s="539"/>
      <c r="C59" s="539"/>
      <c r="D59" s="540"/>
      <c r="F59" s="540"/>
      <c r="G59" s="540"/>
      <c r="H59" s="389"/>
      <c r="I59" s="593"/>
      <c r="N59" s="389"/>
      <c r="O59" s="389"/>
      <c r="P59" s="389"/>
      <c r="Q59" s="389"/>
      <c r="R59" s="389"/>
      <c r="S59" s="389"/>
      <c r="T59" s="389"/>
      <c r="U59" s="389"/>
      <c r="V59" s="389"/>
      <c r="W59" s="389"/>
      <c r="X59" s="389"/>
      <c r="Y59" s="389"/>
      <c r="Z59" s="389"/>
      <c r="AA59" s="389"/>
    </row>
    <row r="60" spans="1:27" s="508" customFormat="1" ht="15.75" hidden="1">
      <c r="B60" s="539"/>
      <c r="C60" s="539"/>
      <c r="H60" s="389"/>
      <c r="I60" s="593"/>
      <c r="N60" s="389"/>
      <c r="O60" s="389"/>
      <c r="P60" s="389"/>
      <c r="Q60" s="389"/>
      <c r="R60" s="389"/>
      <c r="S60" s="389"/>
      <c r="T60" s="389"/>
      <c r="U60" s="389"/>
      <c r="V60" s="389"/>
      <c r="W60" s="389"/>
      <c r="X60" s="389"/>
      <c r="Y60" s="389"/>
      <c r="Z60" s="389"/>
      <c r="AA60" s="389"/>
    </row>
    <row r="61" spans="1:27" s="508" customFormat="1" ht="15.75" hidden="1">
      <c r="A61" s="500"/>
      <c r="B61" s="500"/>
      <c r="C61" s="500"/>
      <c r="D61" s="500"/>
      <c r="H61" s="389"/>
      <c r="I61" s="593"/>
      <c r="N61" s="389"/>
      <c r="O61" s="389"/>
      <c r="P61" s="389"/>
      <c r="Q61" s="389"/>
      <c r="R61" s="389"/>
      <c r="S61" s="389"/>
      <c r="T61" s="389"/>
      <c r="U61" s="389"/>
      <c r="V61" s="389"/>
      <c r="W61" s="389"/>
      <c r="X61" s="389"/>
      <c r="Y61" s="389"/>
      <c r="Z61" s="389"/>
      <c r="AA61" s="389"/>
    </row>
    <row r="62" spans="1:27" s="508" customFormat="1" ht="15.75">
      <c r="A62" s="500"/>
      <c r="B62" s="500"/>
      <c r="C62" s="500"/>
      <c r="D62" s="500"/>
      <c r="H62" s="389"/>
      <c r="I62" s="593"/>
      <c r="N62" s="389"/>
      <c r="O62" s="389"/>
      <c r="P62" s="389"/>
      <c r="Q62" s="389"/>
      <c r="R62" s="389"/>
      <c r="S62" s="389"/>
      <c r="T62" s="389"/>
      <c r="U62" s="389"/>
      <c r="V62" s="389"/>
      <c r="W62" s="389"/>
      <c r="X62" s="389"/>
      <c r="Y62" s="389"/>
      <c r="Z62" s="389"/>
      <c r="AA62" s="389"/>
    </row>
    <row r="63" spans="1:27" s="508" customFormat="1" ht="15.75">
      <c r="B63" s="539"/>
      <c r="C63" s="539"/>
      <c r="H63" s="389"/>
      <c r="I63" s="593"/>
      <c r="N63" s="389"/>
      <c r="O63" s="389"/>
      <c r="P63" s="389"/>
      <c r="Q63" s="389"/>
      <c r="R63" s="389"/>
      <c r="S63" s="389"/>
      <c r="T63" s="389"/>
      <c r="U63" s="389"/>
      <c r="V63" s="389"/>
      <c r="W63" s="389"/>
      <c r="X63" s="389"/>
      <c r="Y63" s="389"/>
      <c r="Z63" s="389"/>
      <c r="AA63" s="389"/>
    </row>
    <row r="64" spans="1:27" s="508" customFormat="1" ht="15.75">
      <c r="A64" s="508" t="s">
        <v>367</v>
      </c>
      <c r="B64" s="508" t="s">
        <v>557</v>
      </c>
      <c r="D64" s="74" t="s">
        <v>157</v>
      </c>
      <c r="H64" s="389"/>
      <c r="I64" s="593"/>
      <c r="N64" s="389"/>
      <c r="O64" s="389"/>
      <c r="P64" s="389"/>
      <c r="Q64" s="389"/>
      <c r="R64" s="389"/>
      <c r="S64" s="389"/>
      <c r="T64" s="389"/>
      <c r="U64" s="389"/>
      <c r="V64" s="389"/>
      <c r="W64" s="389"/>
      <c r="X64" s="389"/>
      <c r="Y64" s="389"/>
      <c r="Z64" s="389"/>
      <c r="AA64" s="389"/>
    </row>
    <row r="65" spans="1:27" s="508" customFormat="1" ht="15.75">
      <c r="A65" s="508" t="s">
        <v>559</v>
      </c>
      <c r="B65" s="508" t="s">
        <v>95</v>
      </c>
      <c r="D65" s="74" t="s">
        <v>96</v>
      </c>
      <c r="H65" s="389"/>
      <c r="I65" s="593"/>
      <c r="N65" s="389"/>
      <c r="O65" s="389"/>
      <c r="P65" s="389"/>
      <c r="Q65" s="389"/>
      <c r="R65" s="389"/>
      <c r="S65" s="389"/>
      <c r="T65" s="389"/>
      <c r="U65" s="389"/>
      <c r="V65" s="389"/>
      <c r="W65" s="389"/>
      <c r="X65" s="389"/>
      <c r="Y65" s="389"/>
      <c r="Z65" s="389"/>
      <c r="AA65" s="389"/>
    </row>
    <row r="66" spans="1:27" s="508" customFormat="1" ht="15.75">
      <c r="A66" s="508" t="s">
        <v>560</v>
      </c>
      <c r="B66" s="508" t="s">
        <v>561</v>
      </c>
      <c r="D66" s="508" t="s">
        <v>685</v>
      </c>
      <c r="F66" s="535"/>
      <c r="G66" s="535"/>
      <c r="H66" s="389"/>
      <c r="I66" s="593"/>
      <c r="N66" s="389"/>
      <c r="O66" s="389"/>
      <c r="P66" s="389"/>
      <c r="Q66" s="389"/>
      <c r="R66" s="389"/>
      <c r="S66" s="389"/>
      <c r="T66" s="389"/>
      <c r="U66" s="389"/>
      <c r="V66" s="389"/>
      <c r="W66" s="389"/>
      <c r="X66" s="389"/>
      <c r="Y66" s="389"/>
      <c r="Z66" s="389"/>
      <c r="AA66" s="389"/>
    </row>
    <row r="67" spans="1:27" ht="15.75">
      <c r="H67" s="389"/>
      <c r="I67" s="593"/>
      <c r="N67" s="389"/>
      <c r="O67" s="389"/>
      <c r="P67" s="389"/>
      <c r="Q67" s="389"/>
      <c r="R67" s="389"/>
      <c r="S67" s="389"/>
      <c r="T67" s="389"/>
      <c r="U67" s="389"/>
      <c r="V67" s="389"/>
      <c r="W67" s="389"/>
      <c r="X67" s="389"/>
      <c r="Y67" s="389"/>
      <c r="Z67" s="389"/>
      <c r="AA67" s="389"/>
    </row>
    <row r="68" spans="1:27" ht="15.75">
      <c r="H68" s="389"/>
      <c r="I68" s="593"/>
      <c r="N68" s="389"/>
      <c r="O68" s="389"/>
      <c r="P68" s="389"/>
      <c r="Q68" s="389"/>
      <c r="R68" s="389"/>
      <c r="S68" s="389"/>
      <c r="T68" s="389"/>
      <c r="U68" s="389"/>
      <c r="V68" s="389"/>
      <c r="W68" s="389"/>
      <c r="X68" s="389"/>
      <c r="Y68" s="389"/>
      <c r="Z68" s="389"/>
      <c r="AA68" s="389"/>
    </row>
    <row r="69" spans="1:27" ht="15.75">
      <c r="H69" s="389"/>
      <c r="I69" s="593"/>
      <c r="N69" s="389"/>
      <c r="O69" s="389"/>
      <c r="P69" s="389"/>
      <c r="Q69" s="389"/>
      <c r="R69" s="389"/>
      <c r="S69" s="389"/>
      <c r="T69" s="389"/>
      <c r="U69" s="389"/>
      <c r="V69" s="389"/>
      <c r="W69" s="389"/>
      <c r="X69" s="389"/>
      <c r="Y69" s="389"/>
      <c r="Z69" s="389"/>
      <c r="AA69" s="389"/>
    </row>
    <row r="70" spans="1:27" ht="15.75">
      <c r="N70" s="389"/>
      <c r="O70" s="389"/>
      <c r="P70" s="389"/>
      <c r="Q70" s="389"/>
      <c r="R70" s="389"/>
      <c r="S70" s="389"/>
      <c r="T70" s="389"/>
      <c r="U70" s="389"/>
      <c r="V70" s="389"/>
      <c r="W70" s="389"/>
      <c r="X70" s="389"/>
      <c r="Y70" s="389"/>
      <c r="Z70" s="389"/>
      <c r="AA70" s="389"/>
    </row>
    <row r="71" spans="1:27">
      <c r="N71" s="514"/>
      <c r="O71" s="514"/>
      <c r="P71" s="514"/>
      <c r="Q71" s="514"/>
      <c r="R71" s="514"/>
      <c r="S71" s="514"/>
      <c r="T71" s="514"/>
      <c r="U71" s="514"/>
      <c r="V71" s="514"/>
      <c r="W71" s="514"/>
      <c r="X71" s="514"/>
      <c r="Y71" s="514"/>
      <c r="Z71" s="514"/>
      <c r="AA71" s="514"/>
    </row>
    <row r="72" spans="1:27">
      <c r="N72" s="514"/>
      <c r="O72" s="514"/>
      <c r="P72" s="514"/>
      <c r="Q72" s="514"/>
      <c r="R72" s="514"/>
      <c r="S72" s="514"/>
      <c r="T72" s="514"/>
      <c r="U72" s="514"/>
      <c r="V72" s="514"/>
      <c r="W72" s="514"/>
      <c r="X72" s="514"/>
      <c r="Y72" s="514"/>
      <c r="Z72" s="514"/>
      <c r="AA72" s="514"/>
    </row>
    <row r="78" spans="1:27">
      <c r="B78" s="541"/>
      <c r="C78" s="541"/>
    </row>
    <row r="79" spans="1:27">
      <c r="B79" s="542"/>
      <c r="C79" s="542"/>
    </row>
  </sheetData>
  <mergeCells count="2">
    <mergeCell ref="A3:E3"/>
    <mergeCell ref="A4:E4"/>
  </mergeCells>
  <printOptions horizontalCentered="1" verticalCentered="1"/>
  <pageMargins left="0.70866141732283472" right="0.70866141732283472" top="0.74803149606299213" bottom="0.74803149606299213" header="0.31496062992125984" footer="0.31496062992125984"/>
  <pageSetup scale="71" orientation="portrait" horizontalDpi="4294967294" verticalDpi="144"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13"/>
  <sheetViews>
    <sheetView zoomScale="90" zoomScaleNormal="90" workbookViewId="0">
      <pane xSplit="3" ySplit="5" topLeftCell="F66" activePane="bottomRight" state="frozen"/>
      <selection pane="topRight" activeCell="D1" sqref="D1"/>
      <selection pane="bottomLeft" activeCell="A6" sqref="A6"/>
      <selection pane="bottomRight" activeCell="G67" sqref="G67"/>
    </sheetView>
  </sheetViews>
  <sheetFormatPr baseColWidth="10" defaultRowHeight="12.75" outlineLevelCol="1"/>
  <cols>
    <col min="1" max="1" width="42" style="26" customWidth="1"/>
    <col min="2" max="9" width="18" style="26" customWidth="1" outlineLevel="1"/>
    <col min="10" max="15" width="18" style="26" hidden="1" customWidth="1" outlineLevel="1"/>
    <col min="16" max="16" width="18" style="26" customWidth="1" outlineLevel="1"/>
    <col min="17" max="17" width="7.28515625" style="351" customWidth="1" outlineLevel="1"/>
    <col min="18" max="18" width="18" style="26" hidden="1" customWidth="1" outlineLevel="1"/>
    <col min="19" max="19" width="7.140625" style="354" hidden="1" customWidth="1" outlineLevel="1"/>
    <col min="20" max="21" width="18" style="26" hidden="1" customWidth="1" outlineLevel="1"/>
    <col min="22" max="22" width="7.140625" style="354" hidden="1" customWidth="1" outlineLevel="1"/>
    <col min="23" max="23" width="5.7109375" hidden="1" customWidth="1"/>
    <col min="24" max="24" width="70.5703125" customWidth="1"/>
    <col min="25" max="25" width="12.140625" bestFit="1" customWidth="1"/>
    <col min="26" max="26" width="70.5703125" customWidth="1"/>
    <col min="27" max="27" width="28.28515625" customWidth="1"/>
    <col min="28" max="30" width="42.140625" style="624" customWidth="1"/>
    <col min="31" max="31" width="12.28515625" bestFit="1" customWidth="1"/>
    <col min="32" max="33" width="11.28515625" bestFit="1" customWidth="1"/>
    <col min="34" max="34" width="7.5703125" bestFit="1" customWidth="1"/>
    <col min="35" max="35" width="6.28515625" bestFit="1" customWidth="1"/>
    <col min="36" max="36" width="6.5703125" bestFit="1" customWidth="1"/>
    <col min="37" max="37" width="6.28515625" bestFit="1" customWidth="1"/>
    <col min="38" max="38" width="6" bestFit="1" customWidth="1"/>
    <col min="39" max="39" width="8.85546875" bestFit="1" customWidth="1"/>
    <col min="40" max="40" width="13" bestFit="1" customWidth="1"/>
    <col min="41" max="41" width="9.85546875" bestFit="1" customWidth="1"/>
    <col min="42" max="42" width="12.140625" bestFit="1" customWidth="1"/>
    <col min="43" max="43" width="11.140625" bestFit="1" customWidth="1"/>
    <col min="44" max="232" width="9.140625" customWidth="1"/>
  </cols>
  <sheetData>
    <row r="1" spans="1:43">
      <c r="A1" s="95" t="s">
        <v>18</v>
      </c>
      <c r="B1" s="91"/>
      <c r="C1" s="91"/>
      <c r="D1" s="91" t="s">
        <v>164</v>
      </c>
      <c r="E1" s="91" t="s">
        <v>164</v>
      </c>
      <c r="F1" s="91" t="s">
        <v>164</v>
      </c>
      <c r="G1" s="91" t="s">
        <v>164</v>
      </c>
      <c r="H1" s="91" t="s">
        <v>164</v>
      </c>
      <c r="I1" s="91"/>
      <c r="J1" s="91"/>
      <c r="K1" s="91"/>
      <c r="L1" s="91"/>
      <c r="M1" s="91"/>
      <c r="N1" s="91"/>
      <c r="O1" s="91"/>
      <c r="P1" s="91"/>
      <c r="Q1" s="349"/>
      <c r="R1" s="24"/>
      <c r="S1" s="352"/>
      <c r="T1" s="24"/>
      <c r="U1" s="24"/>
      <c r="V1" s="352"/>
      <c r="W1" s="24"/>
      <c r="X1" s="24"/>
      <c r="Y1" s="24"/>
      <c r="Z1" s="24"/>
      <c r="AA1" s="24"/>
      <c r="AB1" s="106"/>
    </row>
    <row r="2" spans="1:43">
      <c r="A2" s="95" t="s">
        <v>97</v>
      </c>
      <c r="B2" s="91"/>
      <c r="C2" s="91"/>
      <c r="D2" s="91"/>
      <c r="E2" s="91"/>
      <c r="F2" s="91"/>
      <c r="G2" s="91"/>
      <c r="H2" s="91"/>
      <c r="I2" s="91"/>
      <c r="J2" s="91"/>
      <c r="K2" s="91"/>
      <c r="L2" s="91"/>
      <c r="M2" s="91"/>
      <c r="N2" s="91"/>
      <c r="O2" s="91"/>
      <c r="P2" s="91"/>
      <c r="Q2" s="349"/>
      <c r="R2" s="24"/>
      <c r="S2" s="352"/>
      <c r="T2" s="24"/>
      <c r="U2" s="24"/>
      <c r="V2" s="352"/>
      <c r="AB2" s="106"/>
    </row>
    <row r="3" spans="1:43" ht="13.5" thickBot="1">
      <c r="A3" s="824" t="s">
        <v>539</v>
      </c>
      <c r="B3" s="91"/>
      <c r="C3" s="91"/>
      <c r="D3" s="91"/>
      <c r="E3" s="91"/>
      <c r="F3" s="91"/>
      <c r="G3" s="91"/>
      <c r="H3" s="91"/>
      <c r="I3" s="91"/>
      <c r="J3" s="91"/>
      <c r="K3" s="91"/>
      <c r="L3" s="91"/>
      <c r="M3" s="91"/>
      <c r="N3" s="91"/>
      <c r="O3" s="91"/>
      <c r="P3" s="91"/>
      <c r="Q3" s="349"/>
      <c r="R3" s="49"/>
      <c r="S3" s="352"/>
      <c r="T3" s="632">
        <v>3</v>
      </c>
      <c r="U3" s="24"/>
      <c r="V3" s="352"/>
      <c r="AB3" s="106"/>
    </row>
    <row r="4" spans="1:43" ht="15.75">
      <c r="A4" s="858" t="s">
        <v>98</v>
      </c>
      <c r="B4" s="595" t="s">
        <v>333</v>
      </c>
      <c r="C4" s="595" t="s">
        <v>333</v>
      </c>
      <c r="D4" s="595" t="s">
        <v>100</v>
      </c>
      <c r="E4" s="595" t="s">
        <v>100</v>
      </c>
      <c r="F4" s="595" t="s">
        <v>100</v>
      </c>
      <c r="G4" s="595" t="s">
        <v>100</v>
      </c>
      <c r="H4" s="595" t="s">
        <v>100</v>
      </c>
      <c r="I4" s="595" t="s">
        <v>100</v>
      </c>
      <c r="J4" s="595" t="s">
        <v>100</v>
      </c>
      <c r="K4" s="595" t="s">
        <v>100</v>
      </c>
      <c r="L4" s="595" t="s">
        <v>100</v>
      </c>
      <c r="M4" s="595" t="s">
        <v>100</v>
      </c>
      <c r="N4" s="595" t="s">
        <v>100</v>
      </c>
      <c r="O4" s="595" t="s">
        <v>100</v>
      </c>
      <c r="P4" s="595" t="s">
        <v>326</v>
      </c>
      <c r="Q4" s="596" t="s">
        <v>327</v>
      </c>
      <c r="R4" s="597" t="s">
        <v>329</v>
      </c>
      <c r="S4" s="394" t="s">
        <v>331</v>
      </c>
      <c r="T4" s="399" t="s">
        <v>333</v>
      </c>
      <c r="U4" s="400" t="s">
        <v>100</v>
      </c>
      <c r="V4" s="401" t="s">
        <v>17</v>
      </c>
      <c r="Y4" s="106"/>
      <c r="AB4" s="106"/>
      <c r="AC4" s="106"/>
      <c r="AD4" s="625">
        <f>+G6+G7+G8</f>
        <v>86473950</v>
      </c>
    </row>
    <row r="5" spans="1:43" ht="15.75">
      <c r="A5" s="858"/>
      <c r="B5" s="598" t="s">
        <v>740</v>
      </c>
      <c r="C5" s="598" t="s">
        <v>741</v>
      </c>
      <c r="D5" s="598" t="s">
        <v>540</v>
      </c>
      <c r="E5" s="598" t="s">
        <v>541</v>
      </c>
      <c r="F5" s="598" t="s">
        <v>542</v>
      </c>
      <c r="G5" s="598" t="s">
        <v>543</v>
      </c>
      <c r="H5" s="598" t="s">
        <v>544</v>
      </c>
      <c r="I5" s="598" t="s">
        <v>319</v>
      </c>
      <c r="J5" s="598" t="s">
        <v>320</v>
      </c>
      <c r="K5" s="598" t="s">
        <v>321</v>
      </c>
      <c r="L5" s="598" t="s">
        <v>322</v>
      </c>
      <c r="M5" s="598" t="s">
        <v>323</v>
      </c>
      <c r="N5" s="598" t="s">
        <v>324</v>
      </c>
      <c r="O5" s="598" t="s">
        <v>325</v>
      </c>
      <c r="P5" s="598" t="s">
        <v>1071</v>
      </c>
      <c r="Q5" s="596" t="s">
        <v>328</v>
      </c>
      <c r="R5" s="599" t="s">
        <v>330</v>
      </c>
      <c r="S5" s="394" t="s">
        <v>332</v>
      </c>
      <c r="T5" s="622" t="s">
        <v>542</v>
      </c>
      <c r="U5" s="86" t="str">
        <f>+T5</f>
        <v>MARZO</v>
      </c>
      <c r="V5" s="419" t="str">
        <f>+T5</f>
        <v>MARZO</v>
      </c>
      <c r="Y5" s="106"/>
      <c r="AB5" s="106"/>
      <c r="AC5" s="106"/>
      <c r="AD5" s="626"/>
      <c r="AE5" s="594"/>
      <c r="AF5" s="498" t="s">
        <v>540</v>
      </c>
      <c r="AG5" s="498" t="s">
        <v>541</v>
      </c>
      <c r="AH5" s="498" t="s">
        <v>542</v>
      </c>
      <c r="AI5" s="498" t="s">
        <v>543</v>
      </c>
      <c r="AJ5" s="498" t="s">
        <v>544</v>
      </c>
      <c r="AK5" s="498" t="s">
        <v>319</v>
      </c>
      <c r="AL5" s="498" t="s">
        <v>320</v>
      </c>
      <c r="AM5" s="498" t="s">
        <v>321</v>
      </c>
      <c r="AN5" s="498" t="s">
        <v>322</v>
      </c>
      <c r="AO5" s="498" t="s">
        <v>323</v>
      </c>
      <c r="AP5" s="498" t="s">
        <v>324</v>
      </c>
      <c r="AQ5" s="498" t="s">
        <v>325</v>
      </c>
    </row>
    <row r="6" spans="1:43" ht="15">
      <c r="A6" s="96" t="s">
        <v>101</v>
      </c>
      <c r="B6" s="106">
        <v>94955000</v>
      </c>
      <c r="C6" s="106">
        <f>+B6*12</f>
        <v>1139460000</v>
      </c>
      <c r="D6" s="106">
        <v>94955000</v>
      </c>
      <c r="E6" s="106">
        <v>94955000</v>
      </c>
      <c r="F6" s="106">
        <v>94955000</v>
      </c>
      <c r="G6" s="106">
        <v>94955000</v>
      </c>
      <c r="H6" s="106">
        <v>94955000</v>
      </c>
      <c r="I6" s="106">
        <v>94955000</v>
      </c>
      <c r="J6" s="106"/>
      <c r="K6" s="106"/>
      <c r="L6" s="106"/>
      <c r="M6" s="106"/>
      <c r="N6" s="106"/>
      <c r="O6" s="106"/>
      <c r="P6" s="106">
        <f>SUM(D6:O6)</f>
        <v>569730000</v>
      </c>
      <c r="Q6" s="344">
        <f>+P6/C6</f>
        <v>0.5</v>
      </c>
      <c r="R6" s="346">
        <f t="shared" ref="R6:R16" si="0">+C6-P6</f>
        <v>569730000</v>
      </c>
      <c r="S6" s="395">
        <f>+R6/C6</f>
        <v>0.5</v>
      </c>
      <c r="T6" s="402">
        <f t="shared" ref="T6:T34" si="1">+B6*$T$3</f>
        <v>284865000</v>
      </c>
      <c r="U6" s="109">
        <f>+P6</f>
        <v>569730000</v>
      </c>
      <c r="V6" s="403">
        <f>+U6/T6</f>
        <v>2</v>
      </c>
      <c r="W6" s="347">
        <f>+S6+Q6</f>
        <v>1</v>
      </c>
      <c r="Y6" s="106"/>
      <c r="Z6" s="347"/>
      <c r="AA6" s="49"/>
      <c r="AB6" s="106"/>
      <c r="AC6" s="106"/>
      <c r="AD6" s="628"/>
      <c r="AE6" s="594"/>
      <c r="AF6" s="49">
        <f>SUM(D6:D8)</f>
        <v>86648900</v>
      </c>
      <c r="AG6" s="49">
        <f>SUM(E6:E8)</f>
        <v>86961900</v>
      </c>
      <c r="AH6" s="49">
        <f>SUM(F6:F8)</f>
        <v>86604050</v>
      </c>
      <c r="AI6" s="49">
        <f t="shared" ref="AI6:AQ6" si="2">SUM(G6:G8)</f>
        <v>86473950</v>
      </c>
      <c r="AJ6" s="49">
        <f t="shared" si="2"/>
        <v>86406600</v>
      </c>
      <c r="AK6" s="49">
        <f t="shared" si="2"/>
        <v>86003500</v>
      </c>
      <c r="AL6" s="49">
        <f t="shared" si="2"/>
        <v>0</v>
      </c>
      <c r="AM6" s="49">
        <f t="shared" si="2"/>
        <v>0</v>
      </c>
      <c r="AN6" s="49">
        <f t="shared" si="2"/>
        <v>0</v>
      </c>
      <c r="AO6" s="49">
        <f t="shared" si="2"/>
        <v>0</v>
      </c>
      <c r="AP6" s="49">
        <f t="shared" si="2"/>
        <v>0</v>
      </c>
      <c r="AQ6" s="49">
        <f t="shared" si="2"/>
        <v>0</v>
      </c>
    </row>
    <row r="7" spans="1:43" ht="15">
      <c r="A7" s="96" t="s">
        <v>104</v>
      </c>
      <c r="B7" s="106">
        <f>ROUND((-B6*10%)*89%,-3)</f>
        <v>-8451000</v>
      </c>
      <c r="C7" s="106">
        <f t="shared" ref="C7:C12" si="3">+B7*12</f>
        <v>-101412000</v>
      </c>
      <c r="D7" s="106">
        <v>-7976100</v>
      </c>
      <c r="E7" s="106">
        <v>-7663100</v>
      </c>
      <c r="F7" s="106">
        <v>-8020950</v>
      </c>
      <c r="G7" s="106">
        <v>-8151050</v>
      </c>
      <c r="H7" s="106">
        <v>-8218400</v>
      </c>
      <c r="I7" s="106">
        <v>-8566500</v>
      </c>
      <c r="J7" s="106"/>
      <c r="K7" s="106"/>
      <c r="L7" s="106"/>
      <c r="M7" s="106"/>
      <c r="N7" s="106"/>
      <c r="O7" s="106"/>
      <c r="P7" s="106">
        <f t="shared" ref="P7:P16" si="4">SUM(D7:O7)</f>
        <v>-48596100</v>
      </c>
      <c r="Q7" s="344">
        <f>+P7/C7</f>
        <v>0.47919476984972192</v>
      </c>
      <c r="R7" s="346">
        <f t="shared" si="0"/>
        <v>-52815900</v>
      </c>
      <c r="S7" s="395">
        <f>+R7/C7</f>
        <v>0.52080523015027802</v>
      </c>
      <c r="T7" s="402">
        <f t="shared" si="1"/>
        <v>-25353000</v>
      </c>
      <c r="U7" s="109">
        <f t="shared" ref="U7:U34" si="5">+P7</f>
        <v>-48596100</v>
      </c>
      <c r="V7" s="403">
        <f t="shared" ref="V7:V70" si="6">+U7/T7</f>
        <v>1.9167790793988877</v>
      </c>
      <c r="W7" s="347">
        <f t="shared" ref="W7:W70" si="7">+S7+Q7</f>
        <v>1</v>
      </c>
      <c r="Y7" s="106"/>
      <c r="Z7" s="347"/>
      <c r="AA7" s="49">
        <f>+G7+G8</f>
        <v>-8481050</v>
      </c>
      <c r="AB7" s="106"/>
      <c r="AC7" s="106"/>
      <c r="AD7" s="628"/>
      <c r="AE7" s="594"/>
      <c r="AG7" s="49">
        <f>+AG6-E17</f>
        <v>0</v>
      </c>
    </row>
    <row r="8" spans="1:43" ht="15">
      <c r="A8" s="96" t="s">
        <v>105</v>
      </c>
      <c r="B8" s="106">
        <f>-55000*7</f>
        <v>-385000</v>
      </c>
      <c r="C8" s="106">
        <f t="shared" si="3"/>
        <v>-4620000</v>
      </c>
      <c r="D8" s="106">
        <v>-330000</v>
      </c>
      <c r="E8" s="106">
        <v>-330000</v>
      </c>
      <c r="F8" s="106">
        <v>-330000</v>
      </c>
      <c r="G8" s="106">
        <v>-330000</v>
      </c>
      <c r="H8" s="106">
        <v>-330000</v>
      </c>
      <c r="I8" s="106">
        <v>-385000</v>
      </c>
      <c r="J8" s="106"/>
      <c r="K8" s="106"/>
      <c r="L8" s="106"/>
      <c r="M8" s="106"/>
      <c r="N8" s="106"/>
      <c r="O8" s="106"/>
      <c r="P8" s="106">
        <f t="shared" si="4"/>
        <v>-2035000</v>
      </c>
      <c r="Q8" s="344">
        <f>+P8/C8</f>
        <v>0.44047619047619047</v>
      </c>
      <c r="R8" s="346">
        <f t="shared" si="0"/>
        <v>-2585000</v>
      </c>
      <c r="S8" s="395">
        <f>+R8/C8</f>
        <v>0.55952380952380953</v>
      </c>
      <c r="T8" s="402">
        <f t="shared" si="1"/>
        <v>-1155000</v>
      </c>
      <c r="U8" s="109">
        <f t="shared" si="5"/>
        <v>-2035000</v>
      </c>
      <c r="V8" s="403">
        <f t="shared" si="6"/>
        <v>1.7619047619047619</v>
      </c>
      <c r="W8" s="347">
        <f t="shared" si="7"/>
        <v>1</v>
      </c>
      <c r="Y8" s="106"/>
      <c r="Z8" s="347"/>
      <c r="AA8">
        <v>8218400</v>
      </c>
      <c r="AB8" s="106"/>
      <c r="AC8" s="106"/>
      <c r="AD8" s="628"/>
      <c r="AE8" s="594"/>
    </row>
    <row r="9" spans="1:43" ht="15.75" customHeight="1">
      <c r="A9" s="96" t="s">
        <v>102</v>
      </c>
      <c r="B9" s="106">
        <v>0</v>
      </c>
      <c r="C9" s="106">
        <f t="shared" si="3"/>
        <v>0</v>
      </c>
      <c r="D9" s="106">
        <f>465685+3000</f>
        <v>468685</v>
      </c>
      <c r="E9" s="106">
        <f>7178300+132200</f>
        <v>7310500</v>
      </c>
      <c r="F9" s="106">
        <v>199300</v>
      </c>
      <c r="G9" s="106"/>
      <c r="H9" s="106">
        <v>398000</v>
      </c>
      <c r="I9" s="106">
        <v>68400</v>
      </c>
      <c r="J9" s="106"/>
      <c r="K9" s="106"/>
      <c r="L9" s="106"/>
      <c r="M9" s="106"/>
      <c r="N9" s="106"/>
      <c r="O9" s="106"/>
      <c r="P9" s="106">
        <f t="shared" si="4"/>
        <v>8444885</v>
      </c>
      <c r="Q9" s="344"/>
      <c r="R9" s="346">
        <f t="shared" si="0"/>
        <v>-8444885</v>
      </c>
      <c r="S9" s="395"/>
      <c r="T9" s="404">
        <f t="shared" si="1"/>
        <v>0</v>
      </c>
      <c r="U9" s="100">
        <f t="shared" si="5"/>
        <v>8444885</v>
      </c>
      <c r="V9" s="403"/>
      <c r="W9" s="347">
        <f t="shared" si="7"/>
        <v>0</v>
      </c>
      <c r="Y9" s="106"/>
      <c r="Z9" s="347"/>
      <c r="AA9" s="49">
        <f>+AA7+AA8</f>
        <v>-262650</v>
      </c>
      <c r="AB9" s="106"/>
      <c r="AC9" s="106"/>
      <c r="AD9" s="629"/>
      <c r="AE9" s="594"/>
    </row>
    <row r="10" spans="1:43" ht="15" customHeight="1">
      <c r="A10" s="96" t="s">
        <v>103</v>
      </c>
      <c r="B10" s="106"/>
      <c r="C10" s="106"/>
      <c r="D10" s="106"/>
      <c r="E10" s="106">
        <f>-145750-15900</f>
        <v>-161650</v>
      </c>
      <c r="F10" s="106"/>
      <c r="G10" s="106">
        <v>140600</v>
      </c>
      <c r="H10" s="106"/>
      <c r="I10" s="106"/>
      <c r="J10" s="106"/>
      <c r="K10" s="106"/>
      <c r="L10" s="106"/>
      <c r="M10" s="106"/>
      <c r="N10" s="106"/>
      <c r="O10" s="106"/>
      <c r="P10" s="106">
        <f t="shared" si="4"/>
        <v>-21050</v>
      </c>
      <c r="Q10" s="344"/>
      <c r="R10" s="346">
        <f t="shared" si="0"/>
        <v>21050</v>
      </c>
      <c r="S10" s="395"/>
      <c r="T10" s="404"/>
      <c r="U10" s="100"/>
      <c r="V10" s="403"/>
      <c r="W10" s="347"/>
      <c r="Y10" s="106"/>
      <c r="Z10" s="347"/>
      <c r="AB10" s="106"/>
      <c r="AC10" s="106"/>
      <c r="AD10" s="621"/>
      <c r="AE10" s="594"/>
      <c r="AF10" s="49"/>
    </row>
    <row r="11" spans="1:43" ht="12.75" customHeight="1">
      <c r="A11" s="96" t="s">
        <v>152</v>
      </c>
      <c r="B11" s="106">
        <v>0</v>
      </c>
      <c r="C11" s="106">
        <f t="shared" si="3"/>
        <v>0</v>
      </c>
      <c r="D11" s="106">
        <v>1072500</v>
      </c>
      <c r="E11" s="106">
        <v>1072500</v>
      </c>
      <c r="F11" s="106">
        <v>1155500</v>
      </c>
      <c r="G11" s="106">
        <v>1157500</v>
      </c>
      <c r="H11" s="106">
        <v>1072500</v>
      </c>
      <c r="I11" s="106">
        <v>1155000</v>
      </c>
      <c r="J11" s="106"/>
      <c r="K11" s="106"/>
      <c r="L11" s="106"/>
      <c r="M11" s="106"/>
      <c r="N11" s="106"/>
      <c r="O11" s="106"/>
      <c r="P11" s="106">
        <f t="shared" si="4"/>
        <v>6685500</v>
      </c>
      <c r="Q11" s="344"/>
      <c r="R11" s="346">
        <f t="shared" si="0"/>
        <v>-6685500</v>
      </c>
      <c r="S11" s="395"/>
      <c r="T11" s="402">
        <f t="shared" si="1"/>
        <v>0</v>
      </c>
      <c r="U11" s="109">
        <f t="shared" si="5"/>
        <v>6685500</v>
      </c>
      <c r="V11" s="403"/>
      <c r="W11" s="347">
        <f t="shared" si="7"/>
        <v>0</v>
      </c>
      <c r="Y11" s="106"/>
      <c r="Z11" s="347"/>
      <c r="AB11" s="106"/>
      <c r="AC11" s="106"/>
      <c r="AE11" s="594"/>
    </row>
    <row r="12" spans="1:43" ht="12.75" customHeight="1">
      <c r="A12" s="96" t="s">
        <v>368</v>
      </c>
      <c r="B12" s="106">
        <v>0</v>
      </c>
      <c r="C12" s="106">
        <f t="shared" si="3"/>
        <v>0</v>
      </c>
      <c r="D12" s="106">
        <v>2240000</v>
      </c>
      <c r="E12" s="106">
        <v>-307800</v>
      </c>
      <c r="F12" s="106">
        <v>196000</v>
      </c>
      <c r="G12" s="106">
        <v>266000</v>
      </c>
      <c r="H12" s="106"/>
      <c r="I12" s="106">
        <v>616000</v>
      </c>
      <c r="J12" s="106"/>
      <c r="K12" s="106"/>
      <c r="L12" s="106"/>
      <c r="M12" s="106"/>
      <c r="N12" s="106"/>
      <c r="O12" s="106"/>
      <c r="P12" s="106">
        <f t="shared" si="4"/>
        <v>3010200</v>
      </c>
      <c r="Q12" s="344"/>
      <c r="R12" s="346">
        <f t="shared" si="0"/>
        <v>-3010200</v>
      </c>
      <c r="S12" s="395"/>
      <c r="T12" s="402">
        <f t="shared" si="1"/>
        <v>0</v>
      </c>
      <c r="U12" s="109">
        <f t="shared" si="5"/>
        <v>3010200</v>
      </c>
      <c r="V12" s="403"/>
      <c r="W12" s="347">
        <f t="shared" si="7"/>
        <v>0</v>
      </c>
      <c r="Y12" s="106"/>
      <c r="Z12" s="347"/>
      <c r="AB12" s="106"/>
      <c r="AC12" s="106"/>
      <c r="AE12" s="594"/>
    </row>
    <row r="13" spans="1:43" ht="12.75" customHeight="1">
      <c r="A13" s="96" t="s">
        <v>166</v>
      </c>
      <c r="B13" s="106">
        <v>0</v>
      </c>
      <c r="C13" s="106">
        <v>0</v>
      </c>
      <c r="D13" s="106">
        <v>190000</v>
      </c>
      <c r="E13" s="106">
        <v>395000</v>
      </c>
      <c r="F13" s="106">
        <v>125000</v>
      </c>
      <c r="G13" s="106"/>
      <c r="H13" s="106"/>
      <c r="I13" s="106"/>
      <c r="J13" s="106"/>
      <c r="K13" s="106"/>
      <c r="L13" s="106"/>
      <c r="M13" s="106"/>
      <c r="N13" s="106"/>
      <c r="O13" s="106"/>
      <c r="P13" s="106">
        <f t="shared" si="4"/>
        <v>710000</v>
      </c>
      <c r="Q13" s="344"/>
      <c r="R13" s="346">
        <f t="shared" si="0"/>
        <v>-710000</v>
      </c>
      <c r="S13" s="395"/>
      <c r="T13" s="402">
        <f t="shared" si="1"/>
        <v>0</v>
      </c>
      <c r="U13" s="109">
        <f t="shared" si="5"/>
        <v>710000</v>
      </c>
      <c r="V13" s="403"/>
      <c r="W13" s="347">
        <f t="shared" si="7"/>
        <v>0</v>
      </c>
      <c r="Y13" s="106"/>
      <c r="Z13" s="347"/>
      <c r="AB13" s="106"/>
      <c r="AC13" s="106"/>
      <c r="AE13" s="594"/>
    </row>
    <row r="14" spans="1:43" ht="12.75" customHeight="1">
      <c r="A14" s="96" t="s">
        <v>568</v>
      </c>
      <c r="B14" s="106"/>
      <c r="C14" s="106"/>
      <c r="D14" s="106">
        <v>67102.42</v>
      </c>
      <c r="E14" s="106">
        <v>46873</v>
      </c>
      <c r="F14" s="106">
        <v>120189</v>
      </c>
      <c r="G14" s="106">
        <f>-144690+1231</f>
        <v>-143459</v>
      </c>
      <c r="H14" s="106">
        <v>5847.67</v>
      </c>
      <c r="I14" s="106">
        <v>3436.63</v>
      </c>
      <c r="J14" s="106"/>
      <c r="K14" s="106"/>
      <c r="L14" s="106"/>
      <c r="M14" s="106"/>
      <c r="N14" s="106"/>
      <c r="O14" s="106"/>
      <c r="P14" s="106">
        <f t="shared" si="4"/>
        <v>99989.719999999987</v>
      </c>
      <c r="Q14" s="344"/>
      <c r="R14" s="346">
        <f t="shared" si="0"/>
        <v>-99989.719999999987</v>
      </c>
      <c r="S14" s="395"/>
      <c r="T14" s="402">
        <f t="shared" si="1"/>
        <v>0</v>
      </c>
      <c r="U14" s="109">
        <f t="shared" si="5"/>
        <v>99989.719999999987</v>
      </c>
      <c r="V14" s="403"/>
      <c r="W14" s="347">
        <f t="shared" si="7"/>
        <v>0</v>
      </c>
      <c r="Y14" s="106"/>
      <c r="Z14" s="347"/>
      <c r="AB14" s="106"/>
      <c r="AC14" s="106"/>
      <c r="AE14" s="594"/>
    </row>
    <row r="15" spans="1:43" ht="12.75" customHeight="1">
      <c r="A15" s="96" t="s">
        <v>687</v>
      </c>
      <c r="B15" s="106"/>
      <c r="C15" s="106"/>
      <c r="D15" s="106">
        <v>85</v>
      </c>
      <c r="E15" s="106">
        <f>338+12792560</f>
        <v>12792898</v>
      </c>
      <c r="F15" s="106"/>
      <c r="G15" s="106"/>
      <c r="H15" s="106"/>
      <c r="I15" s="106"/>
      <c r="J15" s="106"/>
      <c r="K15" s="106"/>
      <c r="L15" s="106"/>
      <c r="M15" s="106"/>
      <c r="N15" s="106"/>
      <c r="O15" s="106"/>
      <c r="P15" s="106">
        <f t="shared" si="4"/>
        <v>12792983</v>
      </c>
      <c r="Q15" s="344"/>
      <c r="R15" s="346">
        <f t="shared" si="0"/>
        <v>-12792983</v>
      </c>
      <c r="S15" s="395"/>
      <c r="T15" s="404">
        <f t="shared" si="1"/>
        <v>0</v>
      </c>
      <c r="U15" s="100">
        <f t="shared" si="5"/>
        <v>12792983</v>
      </c>
      <c r="V15" s="403"/>
      <c r="W15" s="347">
        <f t="shared" si="7"/>
        <v>0</v>
      </c>
      <c r="Y15" s="106"/>
      <c r="Z15" s="347"/>
      <c r="AB15" s="106"/>
      <c r="AC15" s="106"/>
      <c r="AE15" s="594"/>
    </row>
    <row r="16" spans="1:43" ht="15" customHeight="1">
      <c r="A16" s="97" t="s">
        <v>688</v>
      </c>
      <c r="B16" s="106"/>
      <c r="C16" s="106"/>
      <c r="D16" s="106">
        <v>-4038372.42</v>
      </c>
      <c r="E16" s="106">
        <v>-21148321</v>
      </c>
      <c r="F16" s="106">
        <v>-1795989</v>
      </c>
      <c r="G16" s="106">
        <v>-1420641</v>
      </c>
      <c r="H16" s="106">
        <v>-1476347.67</v>
      </c>
      <c r="I16" s="106">
        <v>-1842836.63</v>
      </c>
      <c r="J16" s="106"/>
      <c r="K16" s="106"/>
      <c r="L16" s="106"/>
      <c r="M16" s="106"/>
      <c r="N16" s="106"/>
      <c r="O16" s="106"/>
      <c r="P16" s="106">
        <f t="shared" si="4"/>
        <v>-31722507.720000003</v>
      </c>
      <c r="Q16" s="344"/>
      <c r="R16" s="346">
        <f t="shared" si="0"/>
        <v>31722507.720000003</v>
      </c>
      <c r="S16" s="395"/>
      <c r="T16" s="405">
        <f t="shared" si="1"/>
        <v>0</v>
      </c>
      <c r="U16" s="113">
        <f>+P16</f>
        <v>-31722507.720000003</v>
      </c>
      <c r="V16" s="403"/>
      <c r="W16" s="347">
        <f>+S16+Q16</f>
        <v>0</v>
      </c>
      <c r="Y16" s="106"/>
      <c r="Z16" s="347"/>
      <c r="AB16" s="106"/>
      <c r="AC16" s="106"/>
      <c r="AE16" s="594"/>
    </row>
    <row r="17" spans="1:58" s="789" customFormat="1" ht="28.5" customHeight="1">
      <c r="A17" s="780" t="s">
        <v>106</v>
      </c>
      <c r="B17" s="781">
        <f t="shared" ref="B17:P17" si="8">SUM(B6:B16)</f>
        <v>86119000</v>
      </c>
      <c r="C17" s="781">
        <f t="shared" si="8"/>
        <v>1033428000</v>
      </c>
      <c r="D17" s="781">
        <f t="shared" si="8"/>
        <v>86648900</v>
      </c>
      <c r="E17" s="781">
        <f t="shared" si="8"/>
        <v>86961900</v>
      </c>
      <c r="F17" s="781">
        <f t="shared" si="8"/>
        <v>86604050</v>
      </c>
      <c r="G17" s="781">
        <f t="shared" si="8"/>
        <v>86473950</v>
      </c>
      <c r="H17" s="781">
        <f t="shared" si="8"/>
        <v>86406600</v>
      </c>
      <c r="I17" s="781">
        <f t="shared" si="8"/>
        <v>86003500</v>
      </c>
      <c r="J17" s="781">
        <f t="shared" si="8"/>
        <v>0</v>
      </c>
      <c r="K17" s="781">
        <f t="shared" si="8"/>
        <v>0</v>
      </c>
      <c r="L17" s="781">
        <f t="shared" si="8"/>
        <v>0</v>
      </c>
      <c r="M17" s="781">
        <f t="shared" si="8"/>
        <v>0</v>
      </c>
      <c r="N17" s="781">
        <f t="shared" si="8"/>
        <v>0</v>
      </c>
      <c r="O17" s="781">
        <f t="shared" si="8"/>
        <v>0</v>
      </c>
      <c r="P17" s="781">
        <f t="shared" si="8"/>
        <v>519098900</v>
      </c>
      <c r="Q17" s="782">
        <f>+P17/C17</f>
        <v>0.5023077563216789</v>
      </c>
      <c r="R17" s="783">
        <f>SUM(R6:R16)</f>
        <v>514329100</v>
      </c>
      <c r="S17" s="784">
        <f>+R17/C17</f>
        <v>0.4976922436783211</v>
      </c>
      <c r="T17" s="785">
        <f t="shared" si="1"/>
        <v>258357000</v>
      </c>
      <c r="U17" s="786">
        <f t="shared" si="5"/>
        <v>519098900</v>
      </c>
      <c r="V17" s="787">
        <f t="shared" si="6"/>
        <v>2.0092310252867156</v>
      </c>
      <c r="W17" s="788">
        <f t="shared" si="7"/>
        <v>1</v>
      </c>
      <c r="X17"/>
      <c r="Y17" s="106"/>
      <c r="Z17" s="788"/>
      <c r="AA17"/>
      <c r="AB17" s="106"/>
      <c r="AC17" s="790"/>
      <c r="AD17" s="791"/>
      <c r="AE17" s="792"/>
    </row>
    <row r="18" spans="1:58">
      <c r="A18" s="36"/>
      <c r="B18" s="36"/>
      <c r="C18" s="36"/>
      <c r="D18" s="36"/>
      <c r="E18" s="36"/>
      <c r="F18" s="36"/>
      <c r="G18" s="36"/>
      <c r="H18" s="36"/>
      <c r="I18" s="36"/>
      <c r="J18" s="36"/>
      <c r="K18" s="36"/>
      <c r="L18" s="36"/>
      <c r="M18" s="36"/>
      <c r="N18" s="36"/>
      <c r="O18" s="36"/>
      <c r="P18" s="36">
        <f>SUM(H18:M18)</f>
        <v>0</v>
      </c>
      <c r="Q18" s="350"/>
      <c r="R18" s="346">
        <f t="shared" ref="R18:R34" si="9">+C18-P18</f>
        <v>0</v>
      </c>
      <c r="S18" s="353"/>
      <c r="T18" s="406">
        <f t="shared" si="1"/>
        <v>0</v>
      </c>
      <c r="U18" s="407">
        <f t="shared" si="5"/>
        <v>0</v>
      </c>
      <c r="V18" s="408"/>
      <c r="W18" s="347">
        <f t="shared" si="7"/>
        <v>0</v>
      </c>
      <c r="Y18" s="106"/>
      <c r="Z18" s="347"/>
      <c r="AB18" s="106"/>
      <c r="AC18" s="106"/>
      <c r="AE18" s="594"/>
    </row>
    <row r="19" spans="1:58" ht="15">
      <c r="A19" s="98" t="s">
        <v>107</v>
      </c>
      <c r="B19" s="106">
        <v>709000</v>
      </c>
      <c r="C19" s="106">
        <f>+B19*12</f>
        <v>8508000</v>
      </c>
      <c r="D19" s="106">
        <v>669000</v>
      </c>
      <c r="E19" s="106">
        <v>669000</v>
      </c>
      <c r="F19" s="106">
        <v>669000</v>
      </c>
      <c r="G19" s="106">
        <v>669000</v>
      </c>
      <c r="H19" s="106">
        <v>669000</v>
      </c>
      <c r="I19" s="106">
        <v>425400</v>
      </c>
      <c r="J19" s="106"/>
      <c r="K19" s="106"/>
      <c r="L19" s="106"/>
      <c r="M19" s="106"/>
      <c r="N19" s="106"/>
      <c r="O19" s="106"/>
      <c r="P19" s="106">
        <f t="shared" ref="P19:P23" si="10">SUM(D19:O19)</f>
        <v>3770400</v>
      </c>
      <c r="Q19" s="344">
        <f t="shared" ref="Q19:Q74" si="11">+P19/C19</f>
        <v>0.44315937940761635</v>
      </c>
      <c r="R19" s="346">
        <f t="shared" si="9"/>
        <v>4737600</v>
      </c>
      <c r="S19" s="395">
        <f t="shared" ref="S19:S82" si="12">+R19/C19</f>
        <v>0.55684062059238359</v>
      </c>
      <c r="T19" s="402">
        <f t="shared" si="1"/>
        <v>2127000</v>
      </c>
      <c r="U19" s="109">
        <f t="shared" si="5"/>
        <v>3770400</v>
      </c>
      <c r="V19" s="403">
        <f t="shared" si="6"/>
        <v>1.7726375176304654</v>
      </c>
      <c r="W19" s="347">
        <f t="shared" si="7"/>
        <v>1</v>
      </c>
      <c r="Y19" s="106"/>
      <c r="Z19" s="347"/>
      <c r="AB19" s="106"/>
      <c r="AC19" s="106"/>
      <c r="AD19" s="628"/>
      <c r="AE19" s="594"/>
    </row>
    <row r="20" spans="1:58" ht="15">
      <c r="A20" s="96" t="s">
        <v>108</v>
      </c>
      <c r="B20" s="106">
        <v>2934000</v>
      </c>
      <c r="C20" s="106">
        <f>+B20*12</f>
        <v>35208000</v>
      </c>
      <c r="D20" s="106">
        <v>2768000</v>
      </c>
      <c r="E20" s="106">
        <v>2768000</v>
      </c>
      <c r="F20" s="106">
        <v>2768000</v>
      </c>
      <c r="G20" s="106">
        <v>2768000</v>
      </c>
      <c r="H20" s="106">
        <v>2768000</v>
      </c>
      <c r="I20" s="106">
        <v>3764000</v>
      </c>
      <c r="J20" s="106"/>
      <c r="K20" s="106"/>
      <c r="L20" s="106"/>
      <c r="M20" s="106"/>
      <c r="N20" s="106"/>
      <c r="O20" s="106"/>
      <c r="P20" s="106">
        <f t="shared" si="10"/>
        <v>17604000</v>
      </c>
      <c r="Q20" s="344">
        <f t="shared" si="11"/>
        <v>0.5</v>
      </c>
      <c r="R20" s="346">
        <f t="shared" si="9"/>
        <v>17604000</v>
      </c>
      <c r="S20" s="395">
        <f t="shared" si="12"/>
        <v>0.5</v>
      </c>
      <c r="T20" s="402">
        <f t="shared" si="1"/>
        <v>8802000</v>
      </c>
      <c r="U20" s="109">
        <f t="shared" si="5"/>
        <v>17604000</v>
      </c>
      <c r="V20" s="403">
        <f t="shared" si="6"/>
        <v>2</v>
      </c>
      <c r="W20" s="347">
        <f t="shared" si="7"/>
        <v>1</v>
      </c>
      <c r="Y20" s="106"/>
      <c r="Z20" s="347"/>
      <c r="AB20" s="106"/>
      <c r="AC20" s="106"/>
      <c r="AD20" s="628"/>
      <c r="AE20" s="594"/>
    </row>
    <row r="21" spans="1:58" ht="15">
      <c r="A21" s="96" t="s">
        <v>109</v>
      </c>
      <c r="B21" s="106">
        <v>878000</v>
      </c>
      <c r="C21" s="106">
        <f>+B21*12</f>
        <v>10536000</v>
      </c>
      <c r="D21" s="106">
        <v>824000</v>
      </c>
      <c r="E21" s="106">
        <v>824000</v>
      </c>
      <c r="F21" s="106">
        <v>824000</v>
      </c>
      <c r="G21" s="106">
        <v>824000</v>
      </c>
      <c r="H21" s="106">
        <v>824000</v>
      </c>
      <c r="I21" s="106">
        <v>1148000</v>
      </c>
      <c r="J21" s="106"/>
      <c r="K21" s="106"/>
      <c r="L21" s="106"/>
      <c r="M21" s="106"/>
      <c r="N21" s="106"/>
      <c r="O21" s="106"/>
      <c r="P21" s="106">
        <f t="shared" si="10"/>
        <v>5268000</v>
      </c>
      <c r="Q21" s="344">
        <f t="shared" si="11"/>
        <v>0.5</v>
      </c>
      <c r="R21" s="346">
        <f t="shared" si="9"/>
        <v>5268000</v>
      </c>
      <c r="S21" s="395">
        <f t="shared" si="12"/>
        <v>0.5</v>
      </c>
      <c r="T21" s="402">
        <f t="shared" si="1"/>
        <v>2634000</v>
      </c>
      <c r="U21" s="109">
        <f t="shared" si="5"/>
        <v>5268000</v>
      </c>
      <c r="V21" s="403">
        <f t="shared" si="6"/>
        <v>2</v>
      </c>
      <c r="W21" s="347">
        <f t="shared" si="7"/>
        <v>1</v>
      </c>
      <c r="Y21" s="106"/>
      <c r="Z21" s="347"/>
      <c r="AB21" s="106"/>
      <c r="AC21" s="106"/>
      <c r="AD21" s="628"/>
      <c r="AE21" s="623"/>
    </row>
    <row r="22" spans="1:58" ht="15">
      <c r="A22" s="338" t="s">
        <v>742</v>
      </c>
      <c r="B22" s="106">
        <v>84000</v>
      </c>
      <c r="C22" s="106">
        <f>+B22*12</f>
        <v>1008000</v>
      </c>
      <c r="D22" s="106"/>
      <c r="E22" s="106"/>
      <c r="F22" s="106">
        <v>210000</v>
      </c>
      <c r="G22" s="106">
        <v>190000</v>
      </c>
      <c r="H22" s="106">
        <v>190000</v>
      </c>
      <c r="I22" s="106">
        <v>50000</v>
      </c>
      <c r="J22" s="106"/>
      <c r="K22" s="106"/>
      <c r="L22" s="106"/>
      <c r="M22" s="106"/>
      <c r="N22" s="106"/>
      <c r="O22" s="106"/>
      <c r="P22" s="106">
        <f t="shared" si="10"/>
        <v>640000</v>
      </c>
      <c r="Q22" s="344">
        <f t="shared" si="11"/>
        <v>0.63492063492063489</v>
      </c>
      <c r="R22" s="346">
        <f t="shared" si="9"/>
        <v>368000</v>
      </c>
      <c r="S22" s="395">
        <f t="shared" si="12"/>
        <v>0.36507936507936506</v>
      </c>
      <c r="T22" s="402">
        <f t="shared" si="1"/>
        <v>252000</v>
      </c>
      <c r="U22" s="109">
        <f t="shared" si="5"/>
        <v>640000</v>
      </c>
      <c r="V22" s="403">
        <f t="shared" si="6"/>
        <v>2.5396825396825395</v>
      </c>
      <c r="W22" s="347">
        <f t="shared" si="7"/>
        <v>1</v>
      </c>
      <c r="Y22" s="106"/>
      <c r="Z22" s="347"/>
      <c r="AB22" s="106"/>
      <c r="AC22" s="106"/>
      <c r="AD22" s="628"/>
      <c r="AE22" s="623"/>
    </row>
    <row r="23" spans="1:58" ht="15">
      <c r="A23" s="338" t="s">
        <v>167</v>
      </c>
      <c r="B23" s="106">
        <v>50000</v>
      </c>
      <c r="C23" s="106">
        <f>+B23*12</f>
        <v>600000</v>
      </c>
      <c r="D23" s="106"/>
      <c r="E23" s="106"/>
      <c r="F23" s="106"/>
      <c r="G23" s="106"/>
      <c r="H23" s="106"/>
      <c r="I23" s="106"/>
      <c r="J23" s="106"/>
      <c r="K23" s="106"/>
      <c r="L23" s="106"/>
      <c r="M23" s="106"/>
      <c r="N23" s="106"/>
      <c r="O23" s="106"/>
      <c r="P23" s="106">
        <f t="shared" si="10"/>
        <v>0</v>
      </c>
      <c r="Q23" s="344">
        <f t="shared" si="11"/>
        <v>0</v>
      </c>
      <c r="R23" s="346">
        <f t="shared" si="9"/>
        <v>600000</v>
      </c>
      <c r="S23" s="396">
        <f t="shared" si="12"/>
        <v>1</v>
      </c>
      <c r="T23" s="409">
        <f t="shared" si="1"/>
        <v>150000</v>
      </c>
      <c r="U23" s="339">
        <f t="shared" si="5"/>
        <v>0</v>
      </c>
      <c r="V23" s="410">
        <f t="shared" si="6"/>
        <v>0</v>
      </c>
      <c r="W23" s="347">
        <f t="shared" si="7"/>
        <v>1</v>
      </c>
      <c r="Y23" s="106"/>
      <c r="Z23" s="347"/>
      <c r="AB23" s="106"/>
      <c r="AC23" s="106"/>
      <c r="AD23" s="628"/>
      <c r="AE23" s="623"/>
    </row>
    <row r="24" spans="1:58" s="343" customFormat="1" ht="22.5" customHeight="1">
      <c r="A24" s="342" t="s">
        <v>110</v>
      </c>
      <c r="B24" s="337">
        <f>SUM(B19:B23)</f>
        <v>4655000</v>
      </c>
      <c r="C24" s="337">
        <f>SUM(C19:C23)</f>
        <v>55860000</v>
      </c>
      <c r="D24" s="337">
        <f t="shared" ref="D24:G24" si="13">SUM(D19:D23)</f>
        <v>4261000</v>
      </c>
      <c r="E24" s="337">
        <f t="shared" si="13"/>
        <v>4261000</v>
      </c>
      <c r="F24" s="337">
        <f t="shared" si="13"/>
        <v>4471000</v>
      </c>
      <c r="G24" s="337">
        <f t="shared" si="13"/>
        <v>4451000</v>
      </c>
      <c r="H24" s="337">
        <f>SUM(H19:H23)</f>
        <v>4451000</v>
      </c>
      <c r="I24" s="337">
        <f>SUM(I19:I23)</f>
        <v>5387400</v>
      </c>
      <c r="J24" s="337">
        <f>SUM(J19:J23)</f>
        <v>0</v>
      </c>
      <c r="K24" s="337">
        <f t="shared" ref="K24:O24" si="14">SUM(K19:K23)</f>
        <v>0</v>
      </c>
      <c r="L24" s="337">
        <f t="shared" si="14"/>
        <v>0</v>
      </c>
      <c r="M24" s="337">
        <f t="shared" si="14"/>
        <v>0</v>
      </c>
      <c r="N24" s="337">
        <f t="shared" si="14"/>
        <v>0</v>
      </c>
      <c r="O24" s="337">
        <f t="shared" si="14"/>
        <v>0</v>
      </c>
      <c r="P24" s="337">
        <f>SUM(P19:P23)</f>
        <v>27282400</v>
      </c>
      <c r="Q24" s="348">
        <f t="shared" si="11"/>
        <v>0.48840673111349803</v>
      </c>
      <c r="R24" s="346">
        <f t="shared" si="9"/>
        <v>28577600</v>
      </c>
      <c r="S24" s="397">
        <f t="shared" si="12"/>
        <v>0.51159326888650192</v>
      </c>
      <c r="T24" s="411">
        <f t="shared" si="1"/>
        <v>13965000</v>
      </c>
      <c r="U24" s="337">
        <f t="shared" si="5"/>
        <v>27282400</v>
      </c>
      <c r="V24" s="412">
        <f t="shared" si="6"/>
        <v>1.9536269244539921</v>
      </c>
      <c r="W24" s="347">
        <f t="shared" si="7"/>
        <v>1</v>
      </c>
      <c r="X24"/>
      <c r="Y24" s="106"/>
      <c r="Z24" s="347"/>
      <c r="AA24"/>
      <c r="AB24" s="106"/>
      <c r="AC24" s="106"/>
      <c r="AD24" s="629"/>
      <c r="AE24" s="623"/>
    </row>
    <row r="25" spans="1:58" ht="15">
      <c r="A25" s="340" t="s">
        <v>111</v>
      </c>
      <c r="B25" s="106">
        <v>3684000</v>
      </c>
      <c r="C25" s="106">
        <f>+B25*12</f>
        <v>44208000</v>
      </c>
      <c r="D25" s="106">
        <v>3574223</v>
      </c>
      <c r="E25" s="106">
        <v>3574223</v>
      </c>
      <c r="F25" s="106">
        <v>3574223</v>
      </c>
      <c r="G25" s="106">
        <v>3574223</v>
      </c>
      <c r="H25" s="106">
        <v>3574223</v>
      </c>
      <c r="I25" s="106">
        <v>3574223</v>
      </c>
      <c r="J25" s="106"/>
      <c r="K25" s="106"/>
      <c r="L25" s="106"/>
      <c r="M25" s="106"/>
      <c r="N25" s="106"/>
      <c r="O25" s="106"/>
      <c r="P25" s="106">
        <f>SUM(D25:O25)</f>
        <v>21445338</v>
      </c>
      <c r="Q25" s="345">
        <f t="shared" si="11"/>
        <v>0.48510084147665583</v>
      </c>
      <c r="R25" s="346">
        <f t="shared" si="9"/>
        <v>22762662</v>
      </c>
      <c r="S25" s="398">
        <f t="shared" si="12"/>
        <v>0.51489915852334422</v>
      </c>
      <c r="T25" s="413">
        <f t="shared" si="1"/>
        <v>11052000</v>
      </c>
      <c r="U25" s="341">
        <f t="shared" si="5"/>
        <v>21445338</v>
      </c>
      <c r="V25" s="414">
        <f t="shared" si="6"/>
        <v>1.9404033659066233</v>
      </c>
      <c r="W25" s="347">
        <f t="shared" si="7"/>
        <v>1</v>
      </c>
      <c r="Y25" s="106"/>
      <c r="Z25" s="347"/>
      <c r="AB25" s="106"/>
      <c r="AC25" s="106"/>
      <c r="AD25" s="628"/>
      <c r="AE25" s="623"/>
    </row>
    <row r="26" spans="1:58" s="343" customFormat="1" ht="22.5" customHeight="1">
      <c r="A26" s="342" t="s">
        <v>112</v>
      </c>
      <c r="B26" s="337">
        <f>+B25</f>
        <v>3684000</v>
      </c>
      <c r="C26" s="337">
        <f>+C25</f>
        <v>44208000</v>
      </c>
      <c r="D26" s="337">
        <f t="shared" ref="D26:G26" si="15">+D25</f>
        <v>3574223</v>
      </c>
      <c r="E26" s="337">
        <f t="shared" si="15"/>
        <v>3574223</v>
      </c>
      <c r="F26" s="337">
        <f t="shared" si="15"/>
        <v>3574223</v>
      </c>
      <c r="G26" s="337">
        <f t="shared" si="15"/>
        <v>3574223</v>
      </c>
      <c r="H26" s="337">
        <f>+H25</f>
        <v>3574223</v>
      </c>
      <c r="I26" s="337">
        <f>+I25</f>
        <v>3574223</v>
      </c>
      <c r="J26" s="337">
        <f>+J25</f>
        <v>0</v>
      </c>
      <c r="K26" s="337">
        <f t="shared" ref="K26:O26" si="16">+K25</f>
        <v>0</v>
      </c>
      <c r="L26" s="337">
        <f t="shared" si="16"/>
        <v>0</v>
      </c>
      <c r="M26" s="337">
        <f t="shared" si="16"/>
        <v>0</v>
      </c>
      <c r="N26" s="337">
        <f t="shared" si="16"/>
        <v>0</v>
      </c>
      <c r="O26" s="337">
        <f t="shared" si="16"/>
        <v>0</v>
      </c>
      <c r="P26" s="337">
        <f>+P25</f>
        <v>21445338</v>
      </c>
      <c r="Q26" s="348">
        <f t="shared" si="11"/>
        <v>0.48510084147665583</v>
      </c>
      <c r="R26" s="346">
        <f t="shared" si="9"/>
        <v>22762662</v>
      </c>
      <c r="S26" s="397">
        <f t="shared" si="12"/>
        <v>0.51489915852334422</v>
      </c>
      <c r="T26" s="411">
        <f t="shared" si="1"/>
        <v>11052000</v>
      </c>
      <c r="U26" s="337">
        <f t="shared" si="5"/>
        <v>21445338</v>
      </c>
      <c r="V26" s="412">
        <f t="shared" si="6"/>
        <v>1.9404033659066233</v>
      </c>
      <c r="W26" s="347">
        <f t="shared" si="7"/>
        <v>1</v>
      </c>
      <c r="X26"/>
      <c r="Y26" s="106"/>
      <c r="Z26" s="347"/>
      <c r="AA26"/>
      <c r="AB26" s="106"/>
      <c r="AC26" s="106"/>
      <c r="AD26" s="629"/>
      <c r="AE26" s="623"/>
    </row>
    <row r="27" spans="1:58" ht="15">
      <c r="A27" s="96" t="s">
        <v>113</v>
      </c>
      <c r="B27" s="106">
        <v>42001000</v>
      </c>
      <c r="C27" s="106">
        <f>+B27*12</f>
        <v>504012000</v>
      </c>
      <c r="D27" s="106">
        <v>42001260</v>
      </c>
      <c r="E27" s="106">
        <v>42001260</v>
      </c>
      <c r="F27" s="106">
        <v>42001260</v>
      </c>
      <c r="G27" s="106">
        <v>41218116</v>
      </c>
      <c r="H27" s="106">
        <f>33052520+8781884</f>
        <v>41834404</v>
      </c>
      <c r="I27" s="106">
        <v>42001260</v>
      </c>
      <c r="J27" s="106"/>
      <c r="K27" s="106"/>
      <c r="L27" s="106"/>
      <c r="M27" s="106"/>
      <c r="N27" s="106"/>
      <c r="O27" s="106"/>
      <c r="P27" s="106">
        <f t="shared" ref="P27:P34" si="17">SUM(D27:O27)</f>
        <v>251057560</v>
      </c>
      <c r="Q27" s="344">
        <f t="shared" si="11"/>
        <v>0.49811821940747442</v>
      </c>
      <c r="R27" s="346">
        <f t="shared" si="9"/>
        <v>252954440</v>
      </c>
      <c r="S27" s="395">
        <f t="shared" si="12"/>
        <v>0.50188178059252553</v>
      </c>
      <c r="T27" s="402">
        <f t="shared" si="1"/>
        <v>126003000</v>
      </c>
      <c r="U27" s="109">
        <f t="shared" si="5"/>
        <v>251057560</v>
      </c>
      <c r="V27" s="403">
        <f t="shared" si="6"/>
        <v>1.9924728776298977</v>
      </c>
      <c r="W27" s="347">
        <f t="shared" si="7"/>
        <v>1</v>
      </c>
      <c r="Y27" s="106"/>
      <c r="Z27" s="347"/>
      <c r="AB27" s="106"/>
      <c r="AC27" s="106"/>
      <c r="AD27" s="628"/>
      <c r="AE27" s="623"/>
    </row>
    <row r="28" spans="1:58" s="481" customFormat="1" ht="15">
      <c r="A28" s="98" t="s">
        <v>114</v>
      </c>
      <c r="B28" s="106">
        <v>7824000</v>
      </c>
      <c r="C28" s="106">
        <f>+B28*12</f>
        <v>93888000</v>
      </c>
      <c r="D28" s="106">
        <v>7823706</v>
      </c>
      <c r="E28" s="106">
        <v>7823706</v>
      </c>
      <c r="F28" s="106">
        <v>7823706</v>
      </c>
      <c r="G28" s="106">
        <v>7239537</v>
      </c>
      <c r="H28" s="106">
        <v>7823706</v>
      </c>
      <c r="I28" s="106">
        <v>7823706</v>
      </c>
      <c r="J28" s="106"/>
      <c r="K28" s="106"/>
      <c r="L28" s="106"/>
      <c r="M28" s="106"/>
      <c r="N28" s="106"/>
      <c r="O28" s="106"/>
      <c r="P28" s="106">
        <f t="shared" si="17"/>
        <v>46358067</v>
      </c>
      <c r="Q28" s="344">
        <f t="shared" si="11"/>
        <v>0.49375923440695296</v>
      </c>
      <c r="R28" s="346">
        <f t="shared" si="9"/>
        <v>47529933</v>
      </c>
      <c r="S28" s="395">
        <f t="shared" si="12"/>
        <v>0.50624076559304698</v>
      </c>
      <c r="T28" s="402">
        <f t="shared" si="1"/>
        <v>23472000</v>
      </c>
      <c r="U28" s="109">
        <f t="shared" si="5"/>
        <v>46358067</v>
      </c>
      <c r="V28" s="403">
        <f t="shared" si="6"/>
        <v>1.9750369376278119</v>
      </c>
      <c r="W28" s="347">
        <f t="shared" si="7"/>
        <v>1</v>
      </c>
      <c r="X28"/>
      <c r="Y28" s="106"/>
      <c r="Z28" s="347"/>
      <c r="AA28"/>
      <c r="AB28" s="106"/>
      <c r="AC28" s="106"/>
      <c r="AD28" s="628"/>
      <c r="AE28" s="623"/>
      <c r="AF28"/>
      <c r="AG28"/>
      <c r="AH28"/>
      <c r="AI28"/>
      <c r="AJ28"/>
      <c r="AK28"/>
      <c r="AL28"/>
      <c r="AM28"/>
      <c r="AN28"/>
      <c r="AO28"/>
      <c r="AP28"/>
      <c r="AQ28"/>
      <c r="AR28"/>
      <c r="AS28"/>
      <c r="AT28"/>
      <c r="AU28"/>
      <c r="AV28"/>
      <c r="AW28"/>
      <c r="AX28"/>
      <c r="AY28"/>
      <c r="AZ28"/>
      <c r="BA28"/>
      <c r="BB28"/>
      <c r="BC28"/>
      <c r="BD28"/>
      <c r="BE28"/>
      <c r="BF28"/>
    </row>
    <row r="29" spans="1:58" ht="15">
      <c r="A29" s="96" t="s">
        <v>115</v>
      </c>
      <c r="B29" s="106">
        <v>1855000</v>
      </c>
      <c r="C29" s="106">
        <f t="shared" ref="C29:C34" si="18">+B29*12</f>
        <v>22260000</v>
      </c>
      <c r="D29" s="106">
        <v>1854834</v>
      </c>
      <c r="E29" s="106">
        <v>1854834</v>
      </c>
      <c r="F29" s="106">
        <v>1854834</v>
      </c>
      <c r="G29" s="106">
        <v>1854834</v>
      </c>
      <c r="H29" s="106">
        <v>1854834</v>
      </c>
      <c r="I29" s="106">
        <v>1854834</v>
      </c>
      <c r="J29" s="106"/>
      <c r="K29" s="106"/>
      <c r="L29" s="106"/>
      <c r="M29" s="106"/>
      <c r="N29" s="106"/>
      <c r="O29" s="106"/>
      <c r="P29" s="106">
        <f t="shared" si="17"/>
        <v>11129004</v>
      </c>
      <c r="Q29" s="344">
        <f t="shared" si="11"/>
        <v>0.49995525606469005</v>
      </c>
      <c r="R29" s="346">
        <f t="shared" si="9"/>
        <v>11130996</v>
      </c>
      <c r="S29" s="395">
        <f t="shared" si="12"/>
        <v>0.50004474393530995</v>
      </c>
      <c r="T29" s="402">
        <f t="shared" si="1"/>
        <v>5565000</v>
      </c>
      <c r="U29" s="109">
        <f t="shared" si="5"/>
        <v>11129004</v>
      </c>
      <c r="V29" s="403">
        <f t="shared" si="6"/>
        <v>1.9998210242587602</v>
      </c>
      <c r="W29" s="347">
        <f t="shared" si="7"/>
        <v>1</v>
      </c>
      <c r="Y29" s="106"/>
      <c r="Z29" s="347"/>
      <c r="AB29" s="106"/>
      <c r="AC29" s="106"/>
      <c r="AD29" s="628"/>
      <c r="AE29" s="623"/>
    </row>
    <row r="30" spans="1:58" ht="15">
      <c r="A30" s="96" t="s">
        <v>116</v>
      </c>
      <c r="B30" s="106">
        <v>144000</v>
      </c>
      <c r="C30" s="106">
        <f t="shared" si="18"/>
        <v>1728000</v>
      </c>
      <c r="D30" s="106">
        <v>143000</v>
      </c>
      <c r="E30" s="106">
        <v>143000</v>
      </c>
      <c r="F30" s="106">
        <v>143000</v>
      </c>
      <c r="G30" s="106">
        <v>143000</v>
      </c>
      <c r="H30" s="106">
        <v>143000</v>
      </c>
      <c r="I30" s="106">
        <v>143000</v>
      </c>
      <c r="J30" s="106"/>
      <c r="K30" s="106"/>
      <c r="L30" s="106"/>
      <c r="M30" s="106"/>
      <c r="N30" s="106"/>
      <c r="O30" s="106"/>
      <c r="P30" s="106">
        <f t="shared" si="17"/>
        <v>858000</v>
      </c>
      <c r="Q30" s="344">
        <f t="shared" si="11"/>
        <v>0.49652777777777779</v>
      </c>
      <c r="R30" s="346">
        <f t="shared" si="9"/>
        <v>870000</v>
      </c>
      <c r="S30" s="395">
        <f t="shared" si="12"/>
        <v>0.50347222222222221</v>
      </c>
      <c r="T30" s="402">
        <f t="shared" si="1"/>
        <v>432000</v>
      </c>
      <c r="U30" s="109">
        <f t="shared" si="5"/>
        <v>858000</v>
      </c>
      <c r="V30" s="403">
        <f t="shared" si="6"/>
        <v>1.9861111111111112</v>
      </c>
      <c r="W30" s="347">
        <f t="shared" si="7"/>
        <v>1</v>
      </c>
      <c r="Y30" s="106"/>
      <c r="Z30" s="347"/>
      <c r="AB30" s="106"/>
      <c r="AC30" s="106"/>
      <c r="AD30" s="628"/>
      <c r="AE30" s="623"/>
    </row>
    <row r="31" spans="1:58" ht="15">
      <c r="A31" s="96" t="s">
        <v>117</v>
      </c>
      <c r="B31" s="106">
        <v>740000</v>
      </c>
      <c r="C31" s="106">
        <f t="shared" si="18"/>
        <v>8880000</v>
      </c>
      <c r="D31" s="106"/>
      <c r="E31" s="106"/>
      <c r="F31" s="106">
        <v>872190</v>
      </c>
      <c r="G31" s="106">
        <v>0</v>
      </c>
      <c r="H31" s="106">
        <v>831130</v>
      </c>
      <c r="I31" s="106">
        <v>0</v>
      </c>
      <c r="J31" s="106"/>
      <c r="K31" s="106"/>
      <c r="L31" s="106"/>
      <c r="M31" s="106"/>
      <c r="N31" s="106"/>
      <c r="O31" s="106"/>
      <c r="P31" s="106">
        <f t="shared" si="17"/>
        <v>1703320</v>
      </c>
      <c r="Q31" s="344">
        <f t="shared" si="11"/>
        <v>0.19181531531531532</v>
      </c>
      <c r="R31" s="346">
        <f t="shared" si="9"/>
        <v>7176680</v>
      </c>
      <c r="S31" s="395">
        <f t="shared" si="12"/>
        <v>0.80818468468468474</v>
      </c>
      <c r="T31" s="402">
        <f t="shared" si="1"/>
        <v>2220000</v>
      </c>
      <c r="U31" s="109">
        <f t="shared" si="5"/>
        <v>1703320</v>
      </c>
      <c r="V31" s="403">
        <f t="shared" si="6"/>
        <v>0.76726126126126126</v>
      </c>
      <c r="W31" s="347">
        <f t="shared" si="7"/>
        <v>1</v>
      </c>
      <c r="Y31" s="106"/>
      <c r="Z31" s="347"/>
      <c r="AB31" s="106"/>
      <c r="AC31" s="106"/>
      <c r="AD31" s="628"/>
      <c r="AE31" s="623"/>
    </row>
    <row r="32" spans="1:58" ht="15">
      <c r="A32" s="96" t="s">
        <v>118</v>
      </c>
      <c r="B32" s="106">
        <v>5600000</v>
      </c>
      <c r="C32" s="106">
        <f t="shared" si="18"/>
        <v>67200000</v>
      </c>
      <c r="D32" s="106">
        <v>2534035</v>
      </c>
      <c r="E32" s="106">
        <v>4219906</v>
      </c>
      <c r="F32" s="106">
        <v>4203574</v>
      </c>
      <c r="G32" s="106">
        <v>4926840</v>
      </c>
      <c r="H32" s="106">
        <v>3626890</v>
      </c>
      <c r="I32" s="106">
        <v>4379170</v>
      </c>
      <c r="J32" s="106"/>
      <c r="K32" s="106"/>
      <c r="L32" s="106"/>
      <c r="M32" s="106"/>
      <c r="N32" s="106"/>
      <c r="O32" s="106"/>
      <c r="P32" s="106">
        <f t="shared" si="17"/>
        <v>23890415</v>
      </c>
      <c r="Q32" s="344">
        <f t="shared" si="11"/>
        <v>0.35551212797619047</v>
      </c>
      <c r="R32" s="346">
        <f t="shared" si="9"/>
        <v>43309585</v>
      </c>
      <c r="S32" s="395">
        <f t="shared" si="12"/>
        <v>0.64448787202380953</v>
      </c>
      <c r="T32" s="402">
        <f t="shared" si="1"/>
        <v>16800000</v>
      </c>
      <c r="U32" s="109">
        <f t="shared" si="5"/>
        <v>23890415</v>
      </c>
      <c r="V32" s="403">
        <f t="shared" si="6"/>
        <v>1.4220485119047619</v>
      </c>
      <c r="W32" s="347">
        <f t="shared" si="7"/>
        <v>1</v>
      </c>
      <c r="Y32" s="106"/>
      <c r="Z32" s="347"/>
      <c r="AB32" s="106"/>
      <c r="AC32" s="106"/>
      <c r="AD32" s="628"/>
      <c r="AE32" s="623"/>
    </row>
    <row r="33" spans="1:48" ht="15">
      <c r="A33" s="96" t="s">
        <v>119</v>
      </c>
      <c r="B33" s="106">
        <v>218000</v>
      </c>
      <c r="C33" s="106">
        <f t="shared" si="18"/>
        <v>2616000</v>
      </c>
      <c r="D33" s="106">
        <v>218390</v>
      </c>
      <c r="E33" s="106">
        <v>218570</v>
      </c>
      <c r="F33" s="106">
        <v>218390</v>
      </c>
      <c r="G33" s="106">
        <v>193390</v>
      </c>
      <c r="H33" s="106">
        <v>243390</v>
      </c>
      <c r="I33" s="106">
        <v>193490</v>
      </c>
      <c r="J33" s="106"/>
      <c r="K33" s="106"/>
      <c r="L33" s="106"/>
      <c r="M33" s="106"/>
      <c r="N33" s="106"/>
      <c r="O33" s="106"/>
      <c r="P33" s="106">
        <f t="shared" si="17"/>
        <v>1285620</v>
      </c>
      <c r="Q33" s="344">
        <f t="shared" si="11"/>
        <v>0.49144495412844036</v>
      </c>
      <c r="R33" s="346">
        <f t="shared" si="9"/>
        <v>1330380</v>
      </c>
      <c r="S33" s="395">
        <f t="shared" si="12"/>
        <v>0.50855504587155964</v>
      </c>
      <c r="T33" s="402">
        <f t="shared" si="1"/>
        <v>654000</v>
      </c>
      <c r="U33" s="109">
        <f t="shared" si="5"/>
        <v>1285620</v>
      </c>
      <c r="V33" s="403">
        <f t="shared" si="6"/>
        <v>1.9657798165137614</v>
      </c>
      <c r="W33" s="347">
        <f t="shared" si="7"/>
        <v>1</v>
      </c>
      <c r="Y33" s="106"/>
      <c r="Z33" s="347"/>
      <c r="AB33" s="106"/>
      <c r="AC33" s="106"/>
      <c r="AD33" s="628"/>
      <c r="AE33" s="623"/>
    </row>
    <row r="34" spans="1:48" ht="15">
      <c r="A34" s="96" t="s">
        <v>120</v>
      </c>
      <c r="B34" s="106">
        <v>10000</v>
      </c>
      <c r="C34" s="106">
        <f t="shared" si="18"/>
        <v>120000</v>
      </c>
      <c r="D34" s="106">
        <v>3740</v>
      </c>
      <c r="E34" s="106">
        <v>3750</v>
      </c>
      <c r="F34" s="106">
        <v>0</v>
      </c>
      <c r="G34" s="106">
        <v>3780</v>
      </c>
      <c r="H34" s="106">
        <v>7550</v>
      </c>
      <c r="I34" s="106">
        <v>3800</v>
      </c>
      <c r="J34" s="106"/>
      <c r="K34" s="106"/>
      <c r="L34" s="106"/>
      <c r="M34" s="106"/>
      <c r="N34" s="106"/>
      <c r="O34" s="106"/>
      <c r="P34" s="106">
        <f t="shared" si="17"/>
        <v>22620</v>
      </c>
      <c r="Q34" s="344">
        <f t="shared" si="11"/>
        <v>0.1885</v>
      </c>
      <c r="R34" s="346">
        <f t="shared" si="9"/>
        <v>97380</v>
      </c>
      <c r="S34" s="395">
        <f t="shared" si="12"/>
        <v>0.8115</v>
      </c>
      <c r="T34" s="415">
        <f t="shared" si="1"/>
        <v>30000</v>
      </c>
      <c r="U34" s="84">
        <f t="shared" si="5"/>
        <v>22620</v>
      </c>
      <c r="V34" s="403">
        <f t="shared" si="6"/>
        <v>0.754</v>
      </c>
      <c r="W34" s="347">
        <f t="shared" si="7"/>
        <v>1</v>
      </c>
      <c r="Y34" s="106"/>
      <c r="Z34" s="347"/>
      <c r="AB34" s="106"/>
      <c r="AC34" s="106"/>
      <c r="AD34" s="628"/>
      <c r="AE34" s="623"/>
    </row>
    <row r="35" spans="1:48" s="343" customFormat="1" ht="22.5" customHeight="1">
      <c r="A35" s="342" t="s">
        <v>121</v>
      </c>
      <c r="B35" s="337">
        <f t="shared" ref="B35:P35" si="19">SUM(B27:B34)</f>
        <v>58392000</v>
      </c>
      <c r="C35" s="337">
        <f t="shared" si="19"/>
        <v>700704000</v>
      </c>
      <c r="D35" s="337">
        <f t="shared" si="19"/>
        <v>54578965</v>
      </c>
      <c r="E35" s="337">
        <f t="shared" si="19"/>
        <v>56265026</v>
      </c>
      <c r="F35" s="337">
        <f t="shared" si="19"/>
        <v>57116954</v>
      </c>
      <c r="G35" s="337">
        <f t="shared" si="19"/>
        <v>55579497</v>
      </c>
      <c r="H35" s="337">
        <f t="shared" si="19"/>
        <v>56364904</v>
      </c>
      <c r="I35" s="337">
        <f t="shared" si="19"/>
        <v>56399260</v>
      </c>
      <c r="J35" s="337">
        <f t="shared" si="19"/>
        <v>0</v>
      </c>
      <c r="K35" s="337">
        <f t="shared" si="19"/>
        <v>0</v>
      </c>
      <c r="L35" s="337">
        <f t="shared" si="19"/>
        <v>0</v>
      </c>
      <c r="M35" s="337">
        <f t="shared" si="19"/>
        <v>0</v>
      </c>
      <c r="N35" s="337">
        <f t="shared" si="19"/>
        <v>0</v>
      </c>
      <c r="O35" s="337">
        <f t="shared" si="19"/>
        <v>0</v>
      </c>
      <c r="P35" s="337">
        <f t="shared" si="19"/>
        <v>336304606</v>
      </c>
      <c r="Q35" s="348">
        <f t="shared" si="11"/>
        <v>0.47995245638671963</v>
      </c>
      <c r="R35" s="337">
        <f>SUM(R27:R34)</f>
        <v>364399394</v>
      </c>
      <c r="S35" s="397">
        <f t="shared" si="12"/>
        <v>0.52004754361328032</v>
      </c>
      <c r="T35" s="337">
        <f>SUM(T27:T34)</f>
        <v>175176000</v>
      </c>
      <c r="U35" s="337">
        <f>SUM(U27:U34)</f>
        <v>336304606</v>
      </c>
      <c r="V35" s="412">
        <f t="shared" si="6"/>
        <v>1.9198098255468785</v>
      </c>
      <c r="W35" s="347">
        <f t="shared" si="7"/>
        <v>1</v>
      </c>
      <c r="X35"/>
      <c r="Y35" s="106"/>
      <c r="Z35" s="347"/>
      <c r="AA35"/>
      <c r="AB35" s="106"/>
      <c r="AC35" s="106"/>
      <c r="AD35" s="629"/>
      <c r="AE35" s="623"/>
    </row>
    <row r="36" spans="1:48" ht="15">
      <c r="A36" s="96" t="s">
        <v>736</v>
      </c>
      <c r="B36" s="106">
        <v>237000</v>
      </c>
      <c r="C36" s="106">
        <f t="shared" ref="C36:C59" si="20">+B36*12</f>
        <v>2844000</v>
      </c>
      <c r="D36" s="106"/>
      <c r="E36" s="106"/>
      <c r="F36" s="106"/>
      <c r="G36" s="106"/>
      <c r="H36" s="106"/>
      <c r="I36" s="106"/>
      <c r="J36" s="106"/>
      <c r="K36" s="106"/>
      <c r="L36" s="106"/>
      <c r="M36" s="106"/>
      <c r="N36" s="106"/>
      <c r="O36" s="106"/>
      <c r="P36" s="106">
        <f t="shared" ref="P36:P58" si="21">SUM(D36:O36)</f>
        <v>0</v>
      </c>
      <c r="Q36" s="344">
        <f t="shared" si="11"/>
        <v>0</v>
      </c>
      <c r="R36" s="346">
        <f t="shared" ref="R36:R74" si="22">+C36-P36</f>
        <v>2844000</v>
      </c>
      <c r="S36" s="395">
        <f t="shared" si="12"/>
        <v>1</v>
      </c>
      <c r="T36" s="402">
        <f t="shared" ref="T36:T74" si="23">+B36*$T$3</f>
        <v>711000</v>
      </c>
      <c r="U36" s="109">
        <f t="shared" ref="U36:U74" si="24">+P36</f>
        <v>0</v>
      </c>
      <c r="V36" s="403">
        <f t="shared" si="6"/>
        <v>0</v>
      </c>
      <c r="W36" s="347">
        <f t="shared" si="7"/>
        <v>1</v>
      </c>
      <c r="Y36" s="106"/>
      <c r="Z36" s="347"/>
      <c r="AB36" s="106"/>
      <c r="AC36" s="106"/>
      <c r="AD36" s="628"/>
      <c r="AE36" s="623"/>
    </row>
    <row r="37" spans="1:48" ht="15">
      <c r="A37" s="96" t="s">
        <v>128</v>
      </c>
      <c r="B37" s="106">
        <v>67000</v>
      </c>
      <c r="C37" s="106">
        <f t="shared" si="20"/>
        <v>804000</v>
      </c>
      <c r="D37" s="106"/>
      <c r="E37" s="106">
        <v>190000</v>
      </c>
      <c r="F37" s="106">
        <v>190000</v>
      </c>
      <c r="G37" s="106"/>
      <c r="H37" s="106"/>
      <c r="I37" s="106"/>
      <c r="J37" s="106"/>
      <c r="K37" s="106"/>
      <c r="L37" s="106"/>
      <c r="M37" s="106"/>
      <c r="N37" s="106"/>
      <c r="O37" s="106"/>
      <c r="P37" s="106">
        <f t="shared" si="21"/>
        <v>380000</v>
      </c>
      <c r="Q37" s="344">
        <f t="shared" si="11"/>
        <v>0.47263681592039802</v>
      </c>
      <c r="R37" s="346">
        <f t="shared" si="22"/>
        <v>424000</v>
      </c>
      <c r="S37" s="395">
        <f t="shared" si="12"/>
        <v>0.52736318407960203</v>
      </c>
      <c r="T37" s="402">
        <f t="shared" si="23"/>
        <v>201000</v>
      </c>
      <c r="U37" s="109">
        <f t="shared" si="24"/>
        <v>380000</v>
      </c>
      <c r="V37" s="403">
        <f t="shared" si="6"/>
        <v>1.8905472636815921</v>
      </c>
      <c r="W37" s="347">
        <f t="shared" si="7"/>
        <v>1</v>
      </c>
      <c r="Y37" s="106"/>
      <c r="Z37" s="347"/>
      <c r="AB37" s="106"/>
      <c r="AC37" s="106"/>
      <c r="AD37" s="628"/>
      <c r="AE37" s="623"/>
    </row>
    <row r="38" spans="1:48" ht="15">
      <c r="A38" s="96" t="s">
        <v>184</v>
      </c>
      <c r="B38" s="106">
        <v>416667</v>
      </c>
      <c r="C38" s="106">
        <f t="shared" si="20"/>
        <v>5000004</v>
      </c>
      <c r="D38" s="106">
        <v>1080000</v>
      </c>
      <c r="E38" s="106">
        <v>125000</v>
      </c>
      <c r="F38" s="106">
        <v>2035100</v>
      </c>
      <c r="G38" s="106"/>
      <c r="H38" s="106">
        <v>45000</v>
      </c>
      <c r="I38" s="106">
        <v>610000</v>
      </c>
      <c r="J38" s="106"/>
      <c r="K38" s="106"/>
      <c r="L38" s="106"/>
      <c r="M38" s="106"/>
      <c r="N38" s="106"/>
      <c r="O38" s="106"/>
      <c r="P38" s="106">
        <f t="shared" si="21"/>
        <v>3895100</v>
      </c>
      <c r="Q38" s="344">
        <f t="shared" si="11"/>
        <v>0.77901937678449862</v>
      </c>
      <c r="R38" s="346">
        <f t="shared" si="22"/>
        <v>1104904</v>
      </c>
      <c r="S38" s="395">
        <f t="shared" si="12"/>
        <v>0.22098062321550144</v>
      </c>
      <c r="T38" s="402">
        <f t="shared" si="23"/>
        <v>1250001</v>
      </c>
      <c r="U38" s="109">
        <f t="shared" si="24"/>
        <v>3895100</v>
      </c>
      <c r="V38" s="403">
        <f t="shared" si="6"/>
        <v>3.1160775071379945</v>
      </c>
      <c r="W38" s="347">
        <f t="shared" si="7"/>
        <v>1</v>
      </c>
      <c r="Y38" s="106"/>
      <c r="Z38" s="347"/>
      <c r="AB38" s="106"/>
      <c r="AC38" s="106"/>
      <c r="AD38" s="628"/>
      <c r="AE38" s="623"/>
    </row>
    <row r="39" spans="1:48" ht="15">
      <c r="A39" s="96" t="s">
        <v>132</v>
      </c>
      <c r="B39" s="106">
        <v>400000</v>
      </c>
      <c r="C39" s="106">
        <f t="shared" si="20"/>
        <v>4800000</v>
      </c>
      <c r="D39" s="106">
        <v>335977</v>
      </c>
      <c r="E39" s="106">
        <v>1906920</v>
      </c>
      <c r="F39" s="106">
        <v>120000</v>
      </c>
      <c r="G39" s="106">
        <v>282700</v>
      </c>
      <c r="H39" s="106">
        <v>765850</v>
      </c>
      <c r="I39" s="106">
        <v>561422</v>
      </c>
      <c r="J39" s="106"/>
      <c r="K39" s="106"/>
      <c r="L39" s="106"/>
      <c r="M39" s="106"/>
      <c r="N39" s="106"/>
      <c r="O39" s="106"/>
      <c r="P39" s="106">
        <f t="shared" si="21"/>
        <v>3972869</v>
      </c>
      <c r="Q39" s="344">
        <f t="shared" si="11"/>
        <v>0.82768104166666667</v>
      </c>
      <c r="R39" s="346">
        <f t="shared" si="22"/>
        <v>827131</v>
      </c>
      <c r="S39" s="395">
        <f t="shared" si="12"/>
        <v>0.17231895833333333</v>
      </c>
      <c r="T39" s="402">
        <f t="shared" si="23"/>
        <v>1200000</v>
      </c>
      <c r="U39" s="109">
        <f t="shared" si="24"/>
        <v>3972869</v>
      </c>
      <c r="V39" s="403">
        <f t="shared" si="6"/>
        <v>3.3107241666666667</v>
      </c>
      <c r="W39" s="347">
        <f t="shared" si="7"/>
        <v>1</v>
      </c>
      <c r="Y39" s="106"/>
      <c r="Z39" s="347"/>
      <c r="AB39" s="106"/>
      <c r="AC39" s="106"/>
      <c r="AD39" s="628"/>
      <c r="AE39" s="623"/>
    </row>
    <row r="40" spans="1:48" ht="15">
      <c r="A40" s="96" t="s">
        <v>1029</v>
      </c>
      <c r="B40" s="106">
        <v>310000</v>
      </c>
      <c r="C40" s="106">
        <f t="shared" si="20"/>
        <v>3720000</v>
      </c>
      <c r="D40" s="106"/>
      <c r="E40" s="106"/>
      <c r="F40" s="106"/>
      <c r="G40" s="106"/>
      <c r="H40" s="106">
        <v>250000</v>
      </c>
      <c r="I40" s="106"/>
      <c r="J40" s="106"/>
      <c r="K40" s="106"/>
      <c r="L40" s="106"/>
      <c r="M40" s="106"/>
      <c r="N40" s="106"/>
      <c r="O40" s="106"/>
      <c r="P40" s="106">
        <f t="shared" si="21"/>
        <v>250000</v>
      </c>
      <c r="Q40" s="344">
        <f t="shared" si="11"/>
        <v>6.7204301075268813E-2</v>
      </c>
      <c r="R40" s="346">
        <f t="shared" si="22"/>
        <v>3470000</v>
      </c>
      <c r="S40" s="395">
        <f t="shared" si="12"/>
        <v>0.93279569892473113</v>
      </c>
      <c r="T40" s="402">
        <f t="shared" si="23"/>
        <v>930000</v>
      </c>
      <c r="U40" s="109">
        <f t="shared" si="24"/>
        <v>250000</v>
      </c>
      <c r="V40" s="403">
        <f t="shared" si="6"/>
        <v>0.26881720430107525</v>
      </c>
      <c r="W40" s="347">
        <f t="shared" si="7"/>
        <v>1</v>
      </c>
      <c r="Y40" s="106"/>
      <c r="Z40" s="347"/>
      <c r="AB40" s="106"/>
      <c r="AC40" s="106"/>
      <c r="AD40" s="628"/>
      <c r="AE40" s="623"/>
    </row>
    <row r="41" spans="1:48" ht="15">
      <c r="A41" s="96" t="s">
        <v>46</v>
      </c>
      <c r="B41" s="106">
        <v>2550000</v>
      </c>
      <c r="C41" s="106">
        <f t="shared" si="20"/>
        <v>30600000</v>
      </c>
      <c r="D41" s="106">
        <v>2499000</v>
      </c>
      <c r="E41" s="106">
        <v>2499000</v>
      </c>
      <c r="F41" s="106">
        <v>2499000</v>
      </c>
      <c r="G41" s="106">
        <v>2499000</v>
      </c>
      <c r="H41" s="106">
        <v>2499000</v>
      </c>
      <c r="I41" s="106">
        <v>2499000</v>
      </c>
      <c r="J41" s="106"/>
      <c r="K41" s="106"/>
      <c r="L41" s="106"/>
      <c r="M41" s="106"/>
      <c r="N41" s="106"/>
      <c r="O41" s="106"/>
      <c r="P41" s="106">
        <f t="shared" si="21"/>
        <v>14994000</v>
      </c>
      <c r="Q41" s="344">
        <f t="shared" si="11"/>
        <v>0.49</v>
      </c>
      <c r="R41" s="346">
        <f t="shared" si="22"/>
        <v>15606000</v>
      </c>
      <c r="S41" s="395">
        <f t="shared" si="12"/>
        <v>0.51</v>
      </c>
      <c r="T41" s="402">
        <f t="shared" si="23"/>
        <v>7650000</v>
      </c>
      <c r="U41" s="109">
        <f t="shared" si="24"/>
        <v>14994000</v>
      </c>
      <c r="V41" s="403">
        <f t="shared" si="6"/>
        <v>1.96</v>
      </c>
      <c r="W41" s="347">
        <f t="shared" si="7"/>
        <v>1</v>
      </c>
      <c r="Y41" s="106"/>
      <c r="Z41" s="347"/>
      <c r="AB41" s="106"/>
      <c r="AC41" s="106"/>
      <c r="AD41" s="628"/>
      <c r="AE41" s="623"/>
    </row>
    <row r="42" spans="1:48" s="481" customFormat="1" ht="15">
      <c r="A42" s="96" t="s">
        <v>127</v>
      </c>
      <c r="B42" s="106">
        <v>168000</v>
      </c>
      <c r="C42" s="106">
        <f t="shared" si="20"/>
        <v>2016000</v>
      </c>
      <c r="D42" s="106"/>
      <c r="E42" s="106">
        <v>60000</v>
      </c>
      <c r="F42" s="106"/>
      <c r="G42" s="106">
        <v>240000</v>
      </c>
      <c r="H42" s="106">
        <v>225000</v>
      </c>
      <c r="I42" s="106"/>
      <c r="J42" s="106"/>
      <c r="K42" s="106"/>
      <c r="L42" s="106"/>
      <c r="M42" s="106"/>
      <c r="N42" s="106"/>
      <c r="O42" s="106"/>
      <c r="P42" s="106">
        <f t="shared" si="21"/>
        <v>525000</v>
      </c>
      <c r="Q42" s="344">
        <f t="shared" si="11"/>
        <v>0.26041666666666669</v>
      </c>
      <c r="R42" s="346">
        <f t="shared" si="22"/>
        <v>1491000</v>
      </c>
      <c r="S42" s="395">
        <f t="shared" si="12"/>
        <v>0.73958333333333337</v>
      </c>
      <c r="T42" s="402">
        <f t="shared" si="23"/>
        <v>504000</v>
      </c>
      <c r="U42" s="109">
        <f t="shared" si="24"/>
        <v>525000</v>
      </c>
      <c r="V42" s="403">
        <f t="shared" si="6"/>
        <v>1.0416666666666667</v>
      </c>
      <c r="W42" s="347">
        <f t="shared" si="7"/>
        <v>1</v>
      </c>
      <c r="X42"/>
      <c r="Y42" s="106"/>
      <c r="Z42" s="347"/>
      <c r="AA42"/>
      <c r="AB42" s="106"/>
      <c r="AC42" s="106"/>
      <c r="AD42" s="628"/>
      <c r="AE42" s="623"/>
      <c r="AF42"/>
      <c r="AG42"/>
      <c r="AH42"/>
      <c r="AI42"/>
      <c r="AJ42"/>
      <c r="AK42"/>
      <c r="AL42"/>
      <c r="AM42"/>
      <c r="AN42"/>
      <c r="AO42"/>
      <c r="AP42"/>
      <c r="AQ42"/>
      <c r="AR42"/>
      <c r="AS42"/>
      <c r="AT42"/>
      <c r="AU42"/>
      <c r="AV42"/>
    </row>
    <row r="43" spans="1:48" ht="15">
      <c r="A43" s="96" t="s">
        <v>125</v>
      </c>
      <c r="B43" s="106">
        <v>25000</v>
      </c>
      <c r="C43" s="106">
        <f t="shared" si="20"/>
        <v>300000</v>
      </c>
      <c r="D43" s="106"/>
      <c r="E43" s="106"/>
      <c r="F43" s="106"/>
      <c r="G43" s="106"/>
      <c r="H43" s="106"/>
      <c r="I43" s="106"/>
      <c r="J43" s="106"/>
      <c r="K43" s="106"/>
      <c r="L43" s="106"/>
      <c r="M43" s="106"/>
      <c r="N43" s="106"/>
      <c r="O43" s="106"/>
      <c r="P43" s="106">
        <f t="shared" si="21"/>
        <v>0</v>
      </c>
      <c r="Q43" s="344">
        <f t="shared" si="11"/>
        <v>0</v>
      </c>
      <c r="R43" s="346">
        <f t="shared" si="22"/>
        <v>300000</v>
      </c>
      <c r="S43" s="395">
        <f t="shared" si="12"/>
        <v>1</v>
      </c>
      <c r="T43" s="402">
        <f t="shared" si="23"/>
        <v>75000</v>
      </c>
      <c r="U43" s="109">
        <f t="shared" si="24"/>
        <v>0</v>
      </c>
      <c r="V43" s="403">
        <f t="shared" si="6"/>
        <v>0</v>
      </c>
      <c r="W43" s="347">
        <f t="shared" si="7"/>
        <v>1</v>
      </c>
      <c r="Y43" s="106"/>
      <c r="Z43" s="347"/>
      <c r="AB43" s="106"/>
      <c r="AC43" s="106"/>
      <c r="AD43" s="628"/>
      <c r="AE43" s="623"/>
    </row>
    <row r="44" spans="1:48" ht="15">
      <c r="A44" s="96" t="s">
        <v>738</v>
      </c>
      <c r="B44" s="106">
        <v>71000</v>
      </c>
      <c r="C44" s="106">
        <f t="shared" si="20"/>
        <v>852000</v>
      </c>
      <c r="D44" s="106"/>
      <c r="E44" s="106"/>
      <c r="F44" s="106"/>
      <c r="G44" s="106"/>
      <c r="H44" s="106">
        <v>885000</v>
      </c>
      <c r="I44" s="106">
        <v>280000</v>
      </c>
      <c r="J44" s="106"/>
      <c r="K44" s="106"/>
      <c r="L44" s="106"/>
      <c r="M44" s="106"/>
      <c r="N44" s="106"/>
      <c r="O44" s="106"/>
      <c r="P44" s="106">
        <f t="shared" si="21"/>
        <v>1165000</v>
      </c>
      <c r="Q44" s="344">
        <f t="shared" si="11"/>
        <v>1.3673708920187793</v>
      </c>
      <c r="R44" s="346">
        <f t="shared" si="22"/>
        <v>-313000</v>
      </c>
      <c r="S44" s="395">
        <f t="shared" si="12"/>
        <v>-0.36737089201877932</v>
      </c>
      <c r="T44" s="402">
        <f t="shared" si="23"/>
        <v>213000</v>
      </c>
      <c r="U44" s="109">
        <f t="shared" si="24"/>
        <v>1165000</v>
      </c>
      <c r="V44" s="403">
        <f t="shared" si="6"/>
        <v>5.469483568075117</v>
      </c>
      <c r="W44" s="347">
        <f t="shared" si="7"/>
        <v>1</v>
      </c>
      <c r="Y44" s="106"/>
      <c r="Z44" s="347"/>
      <c r="AB44" s="106"/>
      <c r="AC44" s="106"/>
      <c r="AD44" s="628"/>
      <c r="AE44" s="623"/>
    </row>
    <row r="45" spans="1:48" ht="15">
      <c r="A45" s="96" t="s">
        <v>181</v>
      </c>
      <c r="B45" s="106">
        <v>220000</v>
      </c>
      <c r="C45" s="106">
        <f t="shared" si="20"/>
        <v>2640000</v>
      </c>
      <c r="D45" s="106">
        <v>49000</v>
      </c>
      <c r="E45" s="106"/>
      <c r="F45" s="106"/>
      <c r="G45" s="106"/>
      <c r="H45" s="106"/>
      <c r="I45" s="106"/>
      <c r="J45" s="106"/>
      <c r="K45" s="106"/>
      <c r="L45" s="106"/>
      <c r="M45" s="106"/>
      <c r="N45" s="106"/>
      <c r="O45" s="106"/>
      <c r="P45" s="106">
        <f t="shared" si="21"/>
        <v>49000</v>
      </c>
      <c r="Q45" s="344">
        <f t="shared" si="11"/>
        <v>1.8560606060606062E-2</v>
      </c>
      <c r="R45" s="346">
        <f t="shared" si="22"/>
        <v>2591000</v>
      </c>
      <c r="S45" s="395">
        <f t="shared" si="12"/>
        <v>0.98143939393939394</v>
      </c>
      <c r="T45" s="402">
        <f t="shared" si="23"/>
        <v>660000</v>
      </c>
      <c r="U45" s="109">
        <f t="shared" si="24"/>
        <v>49000</v>
      </c>
      <c r="V45" s="403">
        <f t="shared" si="6"/>
        <v>7.4242424242424249E-2</v>
      </c>
      <c r="W45" s="347">
        <f t="shared" si="7"/>
        <v>1</v>
      </c>
      <c r="Y45" s="106"/>
      <c r="Z45" s="347"/>
      <c r="AB45" s="106"/>
      <c r="AC45" s="106"/>
      <c r="AD45" s="628"/>
      <c r="AE45" s="623"/>
    </row>
    <row r="46" spans="1:48" ht="15">
      <c r="A46" s="96" t="s">
        <v>150</v>
      </c>
      <c r="B46" s="106">
        <v>250000</v>
      </c>
      <c r="C46" s="106">
        <f t="shared" si="20"/>
        <v>3000000</v>
      </c>
      <c r="D46" s="106"/>
      <c r="E46" s="106"/>
      <c r="F46" s="106"/>
      <c r="G46" s="106"/>
      <c r="H46" s="106"/>
      <c r="I46" s="106"/>
      <c r="J46" s="106"/>
      <c r="K46" s="106"/>
      <c r="L46" s="106"/>
      <c r="M46" s="106"/>
      <c r="N46" s="106"/>
      <c r="O46" s="106"/>
      <c r="P46" s="106">
        <f t="shared" si="21"/>
        <v>0</v>
      </c>
      <c r="Q46" s="344">
        <f t="shared" si="11"/>
        <v>0</v>
      </c>
      <c r="R46" s="346">
        <f t="shared" si="22"/>
        <v>3000000</v>
      </c>
      <c r="S46" s="395">
        <f t="shared" si="12"/>
        <v>1</v>
      </c>
      <c r="T46" s="402">
        <f t="shared" si="23"/>
        <v>750000</v>
      </c>
      <c r="U46" s="109">
        <f t="shared" si="24"/>
        <v>0</v>
      </c>
      <c r="V46" s="403">
        <f t="shared" si="6"/>
        <v>0</v>
      </c>
      <c r="W46" s="347">
        <f t="shared" si="7"/>
        <v>1</v>
      </c>
      <c r="Y46" s="106"/>
      <c r="Z46" s="347"/>
      <c r="AB46" s="106"/>
      <c r="AC46" s="106"/>
      <c r="AD46" s="628"/>
      <c r="AE46" s="623"/>
    </row>
    <row r="47" spans="1:48" ht="15">
      <c r="A47" s="96" t="s">
        <v>45</v>
      </c>
      <c r="B47" s="106">
        <v>250000</v>
      </c>
      <c r="C47" s="106">
        <f t="shared" si="20"/>
        <v>3000000</v>
      </c>
      <c r="D47" s="106">
        <v>512664</v>
      </c>
      <c r="E47" s="106">
        <v>345000</v>
      </c>
      <c r="F47" s="106"/>
      <c r="G47" s="106">
        <v>362664</v>
      </c>
      <c r="H47" s="106"/>
      <c r="I47" s="106">
        <v>953003</v>
      </c>
      <c r="J47" s="106"/>
      <c r="K47" s="106"/>
      <c r="L47" s="106"/>
      <c r="M47" s="106"/>
      <c r="N47" s="106"/>
      <c r="O47" s="106"/>
      <c r="P47" s="106">
        <f t="shared" si="21"/>
        <v>2173331</v>
      </c>
      <c r="Q47" s="344">
        <f t="shared" si="11"/>
        <v>0.72444366666666671</v>
      </c>
      <c r="R47" s="346">
        <f t="shared" si="22"/>
        <v>826669</v>
      </c>
      <c r="S47" s="395">
        <f t="shared" si="12"/>
        <v>0.27555633333333335</v>
      </c>
      <c r="T47" s="402">
        <f t="shared" si="23"/>
        <v>750000</v>
      </c>
      <c r="U47" s="109">
        <f t="shared" si="24"/>
        <v>2173331</v>
      </c>
      <c r="V47" s="403">
        <f t="shared" si="6"/>
        <v>2.8977746666666668</v>
      </c>
      <c r="W47" s="347">
        <f t="shared" si="7"/>
        <v>1</v>
      </c>
      <c r="Y47" s="106"/>
      <c r="Z47" s="347"/>
      <c r="AB47" s="106"/>
      <c r="AC47" s="106"/>
      <c r="AD47" s="628"/>
      <c r="AE47" s="623"/>
    </row>
    <row r="48" spans="1:48" ht="15">
      <c r="A48" s="96" t="s">
        <v>452</v>
      </c>
      <c r="B48" s="106">
        <v>280000</v>
      </c>
      <c r="C48" s="106">
        <f t="shared" si="20"/>
        <v>3360000</v>
      </c>
      <c r="D48" s="106">
        <v>280000</v>
      </c>
      <c r="E48" s="106">
        <v>280000</v>
      </c>
      <c r="F48" s="106">
        <v>280000</v>
      </c>
      <c r="G48" s="106">
        <v>280000</v>
      </c>
      <c r="H48" s="106">
        <v>280000</v>
      </c>
      <c r="I48" s="106">
        <v>280000</v>
      </c>
      <c r="J48" s="106"/>
      <c r="K48" s="106"/>
      <c r="L48" s="106"/>
      <c r="M48" s="106"/>
      <c r="N48" s="106"/>
      <c r="O48" s="106"/>
      <c r="P48" s="106">
        <f t="shared" si="21"/>
        <v>1680000</v>
      </c>
      <c r="Q48" s="344">
        <f t="shared" si="11"/>
        <v>0.5</v>
      </c>
      <c r="R48" s="346">
        <f t="shared" si="22"/>
        <v>1680000</v>
      </c>
      <c r="S48" s="395">
        <f t="shared" si="12"/>
        <v>0.5</v>
      </c>
      <c r="T48" s="402">
        <f t="shared" si="23"/>
        <v>840000</v>
      </c>
      <c r="U48" s="109">
        <f t="shared" si="24"/>
        <v>1680000</v>
      </c>
      <c r="V48" s="403">
        <f t="shared" si="6"/>
        <v>2</v>
      </c>
      <c r="W48" s="347">
        <f t="shared" si="7"/>
        <v>1</v>
      </c>
      <c r="Y48" s="106"/>
      <c r="Z48" s="347"/>
      <c r="AB48" s="106"/>
      <c r="AC48" s="106"/>
      <c r="AD48" s="628"/>
      <c r="AE48" s="623"/>
    </row>
    <row r="49" spans="1:33" ht="15">
      <c r="A49" s="96" t="s">
        <v>737</v>
      </c>
      <c r="B49" s="106">
        <v>225000</v>
      </c>
      <c r="C49" s="106">
        <f t="shared" si="20"/>
        <v>2700000</v>
      </c>
      <c r="D49" s="106"/>
      <c r="E49" s="106">
        <v>595000</v>
      </c>
      <c r="F49" s="106"/>
      <c r="G49" s="106"/>
      <c r="H49" s="106"/>
      <c r="I49" s="106"/>
      <c r="J49" s="106"/>
      <c r="K49" s="106"/>
      <c r="L49" s="106"/>
      <c r="M49" s="106"/>
      <c r="N49" s="106"/>
      <c r="O49" s="106"/>
      <c r="P49" s="106">
        <f t="shared" si="21"/>
        <v>595000</v>
      </c>
      <c r="Q49" s="344">
        <f t="shared" si="11"/>
        <v>0.22037037037037038</v>
      </c>
      <c r="R49" s="346">
        <f t="shared" si="22"/>
        <v>2105000</v>
      </c>
      <c r="S49" s="395">
        <f t="shared" si="12"/>
        <v>0.77962962962962967</v>
      </c>
      <c r="T49" s="402">
        <f t="shared" si="23"/>
        <v>675000</v>
      </c>
      <c r="U49" s="109">
        <f t="shared" si="24"/>
        <v>595000</v>
      </c>
      <c r="V49" s="403">
        <f t="shared" si="6"/>
        <v>0.88148148148148153</v>
      </c>
      <c r="W49" s="347">
        <f t="shared" si="7"/>
        <v>1</v>
      </c>
      <c r="Y49" s="106"/>
      <c r="Z49" s="347"/>
      <c r="AB49" s="106"/>
      <c r="AC49" s="106"/>
      <c r="AD49" s="628"/>
      <c r="AE49" s="623"/>
    </row>
    <row r="50" spans="1:33" ht="15">
      <c r="A50" s="96" t="s">
        <v>130</v>
      </c>
      <c r="B50" s="106">
        <v>84000</v>
      </c>
      <c r="C50" s="106">
        <f t="shared" si="20"/>
        <v>1008000</v>
      </c>
      <c r="D50" s="106"/>
      <c r="E50" s="106">
        <v>52900</v>
      </c>
      <c r="F50" s="106">
        <v>160000</v>
      </c>
      <c r="G50" s="106"/>
      <c r="H50" s="106"/>
      <c r="I50" s="106"/>
      <c r="J50" s="106"/>
      <c r="K50" s="106"/>
      <c r="L50" s="106"/>
      <c r="M50" s="106"/>
      <c r="N50" s="106"/>
      <c r="O50" s="106"/>
      <c r="P50" s="106">
        <f t="shared" si="21"/>
        <v>212900</v>
      </c>
      <c r="Q50" s="344">
        <f t="shared" si="11"/>
        <v>0.21121031746031746</v>
      </c>
      <c r="R50" s="346">
        <f t="shared" si="22"/>
        <v>795100</v>
      </c>
      <c r="S50" s="395">
        <f t="shared" si="12"/>
        <v>0.78878968253968251</v>
      </c>
      <c r="T50" s="402">
        <f t="shared" si="23"/>
        <v>252000</v>
      </c>
      <c r="U50" s="109">
        <f t="shared" si="24"/>
        <v>212900</v>
      </c>
      <c r="V50" s="403">
        <f t="shared" si="6"/>
        <v>0.84484126984126984</v>
      </c>
      <c r="W50" s="347">
        <f t="shared" si="7"/>
        <v>1</v>
      </c>
      <c r="Y50" s="106"/>
      <c r="Z50" s="347"/>
      <c r="AB50" s="106"/>
      <c r="AC50" s="106"/>
      <c r="AD50" s="628"/>
      <c r="AE50" s="623"/>
    </row>
    <row r="51" spans="1:33" ht="15">
      <c r="A51" s="96" t="s">
        <v>743</v>
      </c>
      <c r="B51" s="106">
        <v>460000</v>
      </c>
      <c r="C51" s="106">
        <f t="shared" si="20"/>
        <v>5520000</v>
      </c>
      <c r="D51" s="106">
        <v>114660</v>
      </c>
      <c r="E51" s="106">
        <v>128000</v>
      </c>
      <c r="F51" s="106">
        <f>332500+1800000</f>
        <v>2132500</v>
      </c>
      <c r="G51" s="106">
        <v>191000</v>
      </c>
      <c r="H51" s="106"/>
      <c r="I51" s="106">
        <v>403200</v>
      </c>
      <c r="J51" s="106"/>
      <c r="K51" s="106"/>
      <c r="L51" s="106"/>
      <c r="M51" s="106"/>
      <c r="N51" s="106"/>
      <c r="O51" s="106"/>
      <c r="P51" s="106">
        <f t="shared" si="21"/>
        <v>2969360</v>
      </c>
      <c r="Q51" s="344">
        <f t="shared" si="11"/>
        <v>0.53792753623188405</v>
      </c>
      <c r="R51" s="346">
        <f t="shared" si="22"/>
        <v>2550640</v>
      </c>
      <c r="S51" s="395">
        <f t="shared" si="12"/>
        <v>0.46207246376811595</v>
      </c>
      <c r="T51" s="402">
        <f>+B51*$T$3</f>
        <v>1380000</v>
      </c>
      <c r="U51" s="109">
        <f>+P51</f>
        <v>2969360</v>
      </c>
      <c r="V51" s="403">
        <f>+U51/T51</f>
        <v>2.1517101449275362</v>
      </c>
      <c r="W51" s="347">
        <f>+S51+Q51</f>
        <v>1</v>
      </c>
      <c r="Y51" s="106"/>
      <c r="Z51" s="347"/>
      <c r="AB51" s="106"/>
      <c r="AC51" s="106"/>
      <c r="AD51" s="628"/>
      <c r="AE51" s="623"/>
      <c r="AG51" s="49"/>
    </row>
    <row r="52" spans="1:33" ht="15">
      <c r="A52" s="96" t="s">
        <v>744</v>
      </c>
      <c r="B52" s="106">
        <v>340000</v>
      </c>
      <c r="C52" s="106">
        <f t="shared" si="20"/>
        <v>4080000</v>
      </c>
      <c r="D52" s="106"/>
      <c r="E52" s="106"/>
      <c r="F52" s="106"/>
      <c r="G52" s="106"/>
      <c r="H52" s="106"/>
      <c r="I52" s="106"/>
      <c r="J52" s="106"/>
      <c r="K52" s="106"/>
      <c r="L52" s="106"/>
      <c r="M52" s="106"/>
      <c r="N52" s="106"/>
      <c r="O52" s="106"/>
      <c r="P52" s="106">
        <f t="shared" si="21"/>
        <v>0</v>
      </c>
      <c r="Q52" s="344">
        <f t="shared" si="11"/>
        <v>0</v>
      </c>
      <c r="R52" s="346">
        <f t="shared" si="22"/>
        <v>4080000</v>
      </c>
      <c r="S52" s="395">
        <f t="shared" si="12"/>
        <v>1</v>
      </c>
      <c r="T52" s="402">
        <f t="shared" si="23"/>
        <v>1020000</v>
      </c>
      <c r="U52" s="109">
        <f t="shared" si="24"/>
        <v>0</v>
      </c>
      <c r="V52" s="403">
        <f t="shared" si="6"/>
        <v>0</v>
      </c>
      <c r="W52" s="347">
        <f t="shared" si="7"/>
        <v>1</v>
      </c>
      <c r="Y52" s="106"/>
      <c r="Z52" s="347"/>
      <c r="AB52" s="106"/>
      <c r="AC52" s="106"/>
      <c r="AD52" s="628"/>
      <c r="AE52" s="623"/>
    </row>
    <row r="53" spans="1:33" ht="15">
      <c r="A53" s="96" t="s">
        <v>129</v>
      </c>
      <c r="B53" s="106">
        <v>200000</v>
      </c>
      <c r="C53" s="106">
        <f t="shared" si="20"/>
        <v>2400000</v>
      </c>
      <c r="D53" s="106"/>
      <c r="E53" s="106"/>
      <c r="F53" s="106">
        <v>166600</v>
      </c>
      <c r="G53" s="106"/>
      <c r="H53" s="106">
        <v>565000</v>
      </c>
      <c r="I53" s="106"/>
      <c r="J53" s="106"/>
      <c r="K53" s="106"/>
      <c r="L53" s="106"/>
      <c r="M53" s="106"/>
      <c r="N53" s="106"/>
      <c r="O53" s="106"/>
      <c r="P53" s="106">
        <f t="shared" si="21"/>
        <v>731600</v>
      </c>
      <c r="Q53" s="344">
        <f t="shared" si="11"/>
        <v>0.30483333333333335</v>
      </c>
      <c r="R53" s="346">
        <f t="shared" si="22"/>
        <v>1668400</v>
      </c>
      <c r="S53" s="395">
        <f t="shared" si="12"/>
        <v>0.69516666666666671</v>
      </c>
      <c r="T53" s="402">
        <f t="shared" si="23"/>
        <v>600000</v>
      </c>
      <c r="U53" s="109">
        <f t="shared" si="24"/>
        <v>731600</v>
      </c>
      <c r="V53" s="403">
        <f t="shared" si="6"/>
        <v>1.2193333333333334</v>
      </c>
      <c r="W53" s="347">
        <f t="shared" si="7"/>
        <v>1</v>
      </c>
      <c r="Y53" s="106"/>
      <c r="Z53" s="347"/>
      <c r="AB53" s="106"/>
      <c r="AC53" s="106"/>
      <c r="AD53" s="628"/>
      <c r="AE53" s="623"/>
    </row>
    <row r="54" spans="1:33" ht="15">
      <c r="A54" s="96" t="s">
        <v>183</v>
      </c>
      <c r="B54" s="106">
        <v>125000</v>
      </c>
      <c r="C54" s="106">
        <f t="shared" si="20"/>
        <v>1500000</v>
      </c>
      <c r="D54" s="106">
        <v>230000</v>
      </c>
      <c r="E54" s="106"/>
      <c r="F54" s="106"/>
      <c r="G54" s="106"/>
      <c r="H54" s="106">
        <v>450000</v>
      </c>
      <c r="I54" s="106"/>
      <c r="J54" s="106"/>
      <c r="K54" s="106"/>
      <c r="L54" s="106"/>
      <c r="M54" s="106"/>
      <c r="N54" s="106"/>
      <c r="O54" s="106"/>
      <c r="P54" s="106">
        <f t="shared" si="21"/>
        <v>680000</v>
      </c>
      <c r="Q54" s="344">
        <f t="shared" si="11"/>
        <v>0.45333333333333331</v>
      </c>
      <c r="R54" s="346">
        <f t="shared" si="22"/>
        <v>820000</v>
      </c>
      <c r="S54" s="395">
        <f t="shared" si="12"/>
        <v>0.54666666666666663</v>
      </c>
      <c r="T54" s="402">
        <f t="shared" si="23"/>
        <v>375000</v>
      </c>
      <c r="U54" s="109">
        <f t="shared" si="24"/>
        <v>680000</v>
      </c>
      <c r="V54" s="403">
        <f t="shared" si="6"/>
        <v>1.8133333333333332</v>
      </c>
      <c r="W54" s="347">
        <f t="shared" si="7"/>
        <v>1</v>
      </c>
      <c r="Y54" s="106"/>
      <c r="Z54" s="347"/>
      <c r="AB54" s="106"/>
      <c r="AC54" s="106"/>
      <c r="AD54" s="628"/>
      <c r="AE54" s="623"/>
    </row>
    <row r="55" spans="1:33" ht="15">
      <c r="A55" s="96" t="s">
        <v>123</v>
      </c>
      <c r="B55" s="106">
        <v>350000</v>
      </c>
      <c r="C55" s="106">
        <f t="shared" si="20"/>
        <v>4200000</v>
      </c>
      <c r="D55" s="106"/>
      <c r="E55" s="106"/>
      <c r="F55" s="106">
        <v>1199000</v>
      </c>
      <c r="G55" s="106"/>
      <c r="H55" s="106"/>
      <c r="I55" s="106"/>
      <c r="J55" s="106"/>
      <c r="K55" s="106"/>
      <c r="L55" s="106"/>
      <c r="M55" s="106"/>
      <c r="N55" s="106"/>
      <c r="O55" s="106"/>
      <c r="P55" s="106">
        <f t="shared" si="21"/>
        <v>1199000</v>
      </c>
      <c r="Q55" s="344">
        <f t="shared" si="11"/>
        <v>0.28547619047619049</v>
      </c>
      <c r="R55" s="346">
        <f t="shared" si="22"/>
        <v>3001000</v>
      </c>
      <c r="S55" s="395">
        <f t="shared" si="12"/>
        <v>0.71452380952380956</v>
      </c>
      <c r="T55" s="402">
        <f t="shared" si="23"/>
        <v>1050000</v>
      </c>
      <c r="U55" s="109">
        <f t="shared" si="24"/>
        <v>1199000</v>
      </c>
      <c r="V55" s="403">
        <f t="shared" si="6"/>
        <v>1.141904761904762</v>
      </c>
      <c r="W55" s="347">
        <f t="shared" si="7"/>
        <v>1</v>
      </c>
      <c r="Y55" s="106"/>
      <c r="Z55" s="347"/>
      <c r="AB55" s="106"/>
      <c r="AC55" s="106"/>
      <c r="AD55" s="628"/>
      <c r="AE55" s="623"/>
    </row>
    <row r="56" spans="1:33" ht="15">
      <c r="A56" s="96" t="s">
        <v>133</v>
      </c>
      <c r="B56" s="106">
        <v>1288867</v>
      </c>
      <c r="C56" s="106">
        <f t="shared" si="20"/>
        <v>15466404</v>
      </c>
      <c r="D56" s="106">
        <v>977940</v>
      </c>
      <c r="E56" s="106">
        <v>2156457</v>
      </c>
      <c r="F56" s="106">
        <v>2521400</v>
      </c>
      <c r="G56" s="106">
        <v>336000</v>
      </c>
      <c r="H56" s="106">
        <v>319100</v>
      </c>
      <c r="I56" s="106">
        <v>323100</v>
      </c>
      <c r="J56" s="106"/>
      <c r="K56" s="106"/>
      <c r="L56" s="106"/>
      <c r="M56" s="106"/>
      <c r="N56" s="106"/>
      <c r="O56" s="106"/>
      <c r="P56" s="106">
        <f t="shared" si="21"/>
        <v>6633997</v>
      </c>
      <c r="Q56" s="344">
        <f t="shared" si="11"/>
        <v>0.42892950423382192</v>
      </c>
      <c r="R56" s="346">
        <f t="shared" si="22"/>
        <v>8832407</v>
      </c>
      <c r="S56" s="395">
        <f t="shared" si="12"/>
        <v>0.57107049576617808</v>
      </c>
      <c r="T56" s="402">
        <f t="shared" si="23"/>
        <v>3866601</v>
      </c>
      <c r="U56" s="109">
        <f t="shared" si="24"/>
        <v>6633997</v>
      </c>
      <c r="V56" s="403">
        <f t="shared" si="6"/>
        <v>1.7157180169352877</v>
      </c>
      <c r="W56" s="347">
        <f t="shared" si="7"/>
        <v>1</v>
      </c>
      <c r="Y56" s="106"/>
      <c r="Z56" s="347"/>
      <c r="AB56" s="106"/>
      <c r="AC56" s="106"/>
      <c r="AD56" s="628"/>
      <c r="AE56" s="623"/>
      <c r="AF56" s="49">
        <f>+AE56+AE42</f>
        <v>0</v>
      </c>
    </row>
    <row r="57" spans="1:33" ht="15">
      <c r="A57" s="96" t="s">
        <v>122</v>
      </c>
      <c r="B57" s="106">
        <v>100000</v>
      </c>
      <c r="C57" s="106">
        <f t="shared" si="20"/>
        <v>1200000</v>
      </c>
      <c r="D57" s="106">
        <v>565000</v>
      </c>
      <c r="E57" s="106">
        <v>588000</v>
      </c>
      <c r="F57" s="106">
        <v>310000</v>
      </c>
      <c r="G57" s="106"/>
      <c r="H57" s="106">
        <v>416000</v>
      </c>
      <c r="I57" s="106"/>
      <c r="J57" s="106"/>
      <c r="K57" s="106"/>
      <c r="L57" s="106"/>
      <c r="M57" s="106"/>
      <c r="N57" s="106"/>
      <c r="O57" s="106"/>
      <c r="P57" s="106">
        <f t="shared" si="21"/>
        <v>1879000</v>
      </c>
      <c r="Q57" s="344">
        <f t="shared" si="11"/>
        <v>1.5658333333333334</v>
      </c>
      <c r="R57" s="346">
        <f t="shared" si="22"/>
        <v>-679000</v>
      </c>
      <c r="S57" s="395">
        <f t="shared" si="12"/>
        <v>-0.5658333333333333</v>
      </c>
      <c r="T57" s="402">
        <f t="shared" si="23"/>
        <v>300000</v>
      </c>
      <c r="U57" s="109">
        <f t="shared" si="24"/>
        <v>1879000</v>
      </c>
      <c r="V57" s="403">
        <f t="shared" si="6"/>
        <v>6.2633333333333336</v>
      </c>
      <c r="W57" s="347">
        <f t="shared" si="7"/>
        <v>1</v>
      </c>
      <c r="Y57" s="106"/>
      <c r="Z57" s="347"/>
      <c r="AB57" s="106"/>
      <c r="AC57" s="106"/>
      <c r="AD57" s="628"/>
      <c r="AE57" s="623"/>
      <c r="AF57" s="49"/>
    </row>
    <row r="58" spans="1:33" ht="15">
      <c r="A58" s="96" t="s">
        <v>126</v>
      </c>
      <c r="B58" s="106">
        <v>250000</v>
      </c>
      <c r="C58" s="106">
        <f t="shared" si="20"/>
        <v>3000000</v>
      </c>
      <c r="D58" s="106"/>
      <c r="E58" s="106">
        <v>357000</v>
      </c>
      <c r="F58" s="106"/>
      <c r="G58" s="106"/>
      <c r="H58" s="106"/>
      <c r="I58" s="106"/>
      <c r="J58" s="106"/>
      <c r="K58" s="106"/>
      <c r="L58" s="106"/>
      <c r="M58" s="106"/>
      <c r="N58" s="106"/>
      <c r="O58" s="106"/>
      <c r="P58" s="106">
        <f t="shared" si="21"/>
        <v>357000</v>
      </c>
      <c r="Q58" s="344">
        <f t="shared" si="11"/>
        <v>0.11899999999999999</v>
      </c>
      <c r="R58" s="346">
        <f t="shared" si="22"/>
        <v>2643000</v>
      </c>
      <c r="S58" s="395">
        <f t="shared" si="12"/>
        <v>0.88100000000000001</v>
      </c>
      <c r="T58" s="402">
        <f t="shared" si="23"/>
        <v>750000</v>
      </c>
      <c r="U58" s="109">
        <f t="shared" si="24"/>
        <v>357000</v>
      </c>
      <c r="V58" s="403">
        <f t="shared" si="6"/>
        <v>0.47599999999999998</v>
      </c>
      <c r="W58" s="347">
        <f t="shared" si="7"/>
        <v>1</v>
      </c>
      <c r="Y58" s="106"/>
      <c r="Z58" s="347"/>
      <c r="AB58" s="106"/>
      <c r="AC58" s="106"/>
      <c r="AD58" s="628"/>
      <c r="AE58" s="623"/>
    </row>
    <row r="59" spans="1:33" ht="15">
      <c r="A59" s="96" t="s">
        <v>124</v>
      </c>
      <c r="B59" s="106">
        <v>100000</v>
      </c>
      <c r="C59" s="106">
        <f t="shared" si="20"/>
        <v>1200000</v>
      </c>
      <c r="D59" s="106"/>
      <c r="E59" s="106"/>
      <c r="F59" s="106"/>
      <c r="G59" s="106"/>
      <c r="H59" s="106"/>
      <c r="I59" s="106">
        <v>1360000</v>
      </c>
      <c r="J59" s="106"/>
      <c r="K59" s="106"/>
      <c r="L59" s="106"/>
      <c r="M59" s="106"/>
      <c r="N59" s="106"/>
      <c r="O59" s="106"/>
      <c r="P59" s="106">
        <f t="shared" ref="P59:P74" si="25">SUM(D59:O59)</f>
        <v>1360000</v>
      </c>
      <c r="Q59" s="344">
        <f t="shared" si="11"/>
        <v>1.1333333333333333</v>
      </c>
      <c r="R59" s="346">
        <f t="shared" si="22"/>
        <v>-160000</v>
      </c>
      <c r="S59" s="395">
        <f t="shared" si="12"/>
        <v>-0.13333333333333333</v>
      </c>
      <c r="T59" s="402">
        <f t="shared" si="23"/>
        <v>300000</v>
      </c>
      <c r="U59" s="109">
        <f t="shared" si="24"/>
        <v>1360000</v>
      </c>
      <c r="V59" s="403">
        <f t="shared" si="6"/>
        <v>4.5333333333333332</v>
      </c>
      <c r="W59" s="347">
        <f t="shared" si="7"/>
        <v>1</v>
      </c>
      <c r="Y59" s="106"/>
      <c r="Z59" s="347"/>
      <c r="AB59" s="106"/>
      <c r="AC59" s="106"/>
      <c r="AD59" s="628"/>
      <c r="AE59" s="623"/>
      <c r="AG59" s="49">
        <f>+D75-D58-D59</f>
        <v>6834241</v>
      </c>
    </row>
    <row r="60" spans="1:33" ht="15.75">
      <c r="A60" s="633" t="s">
        <v>745</v>
      </c>
      <c r="B60" s="627"/>
      <c r="C60" s="627"/>
      <c r="D60" s="627"/>
      <c r="E60" s="627"/>
      <c r="F60" s="627"/>
      <c r="G60" s="627"/>
      <c r="H60" s="627"/>
      <c r="I60" s="627"/>
      <c r="J60" s="627"/>
      <c r="K60" s="627"/>
      <c r="L60" s="627"/>
      <c r="M60" s="627"/>
      <c r="N60" s="627"/>
      <c r="O60" s="627"/>
      <c r="P60" s="627"/>
      <c r="Q60" s="627"/>
      <c r="R60" s="627"/>
      <c r="S60" s="395"/>
      <c r="T60" s="627"/>
      <c r="U60" s="627"/>
      <c r="V60" s="627"/>
      <c r="W60" s="627"/>
      <c r="Y60" s="106"/>
      <c r="Z60" s="627"/>
      <c r="AB60" s="106"/>
      <c r="AC60" s="106"/>
      <c r="AD60" s="628"/>
      <c r="AE60" s="627"/>
      <c r="AG60" s="49"/>
    </row>
    <row r="61" spans="1:33" ht="15">
      <c r="A61" s="96" t="s">
        <v>735</v>
      </c>
      <c r="B61" s="106">
        <v>1666666.6666666667</v>
      </c>
      <c r="C61" s="106">
        <f t="shared" ref="C61:C74" si="26">+B61*12</f>
        <v>20000000</v>
      </c>
      <c r="D61" s="106"/>
      <c r="E61" s="106"/>
      <c r="F61" s="106"/>
      <c r="G61" s="106"/>
      <c r="H61" s="106"/>
      <c r="I61" s="106"/>
      <c r="J61" s="106"/>
      <c r="K61" s="106"/>
      <c r="L61" s="106"/>
      <c r="M61" s="106"/>
      <c r="N61" s="106"/>
      <c r="O61" s="106"/>
      <c r="P61" s="106">
        <f t="shared" si="25"/>
        <v>0</v>
      </c>
      <c r="Q61" s="344">
        <f t="shared" si="11"/>
        <v>0</v>
      </c>
      <c r="R61" s="346">
        <f t="shared" si="22"/>
        <v>20000000</v>
      </c>
      <c r="S61" s="395">
        <f t="shared" si="12"/>
        <v>1</v>
      </c>
      <c r="T61" s="402">
        <f t="shared" si="23"/>
        <v>5000000</v>
      </c>
      <c r="U61" s="109">
        <f t="shared" si="24"/>
        <v>0</v>
      </c>
      <c r="V61" s="403">
        <f t="shared" si="6"/>
        <v>0</v>
      </c>
      <c r="W61" s="347">
        <f t="shared" si="7"/>
        <v>1</v>
      </c>
      <c r="Y61" s="106"/>
      <c r="Z61" s="347"/>
      <c r="AB61" s="106"/>
      <c r="AC61" s="106"/>
      <c r="AD61" s="628"/>
      <c r="AE61" s="627"/>
      <c r="AG61" s="49"/>
    </row>
    <row r="62" spans="1:33" ht="15">
      <c r="A62" s="96" t="s">
        <v>746</v>
      </c>
      <c r="B62" s="106">
        <v>416666.66666666669</v>
      </c>
      <c r="C62" s="106">
        <f t="shared" si="26"/>
        <v>5000000</v>
      </c>
      <c r="D62" s="106"/>
      <c r="E62" s="106"/>
      <c r="F62" s="106"/>
      <c r="G62" s="106"/>
      <c r="H62" s="106"/>
      <c r="I62" s="106"/>
      <c r="J62" s="106"/>
      <c r="K62" s="106"/>
      <c r="L62" s="106"/>
      <c r="M62" s="106"/>
      <c r="N62" s="106"/>
      <c r="O62" s="106"/>
      <c r="P62" s="106">
        <f t="shared" si="25"/>
        <v>0</v>
      </c>
      <c r="Q62" s="344">
        <f t="shared" si="11"/>
        <v>0</v>
      </c>
      <c r="R62" s="346">
        <f t="shared" si="22"/>
        <v>5000000</v>
      </c>
      <c r="S62" s="395">
        <f t="shared" si="12"/>
        <v>1</v>
      </c>
      <c r="T62" s="402">
        <f t="shared" si="23"/>
        <v>1250000</v>
      </c>
      <c r="U62" s="109">
        <f t="shared" si="24"/>
        <v>0</v>
      </c>
      <c r="V62" s="403">
        <f t="shared" si="6"/>
        <v>0</v>
      </c>
      <c r="W62" s="347">
        <f t="shared" si="7"/>
        <v>1</v>
      </c>
      <c r="Y62" s="106"/>
      <c r="Z62" s="347"/>
      <c r="AB62" s="106"/>
      <c r="AC62" s="106"/>
      <c r="AD62" s="628"/>
      <c r="AE62" s="627"/>
      <c r="AG62" s="49"/>
    </row>
    <row r="63" spans="1:33" ht="15">
      <c r="A63" s="96" t="s">
        <v>747</v>
      </c>
      <c r="B63" s="106">
        <v>550000</v>
      </c>
      <c r="C63" s="106">
        <f t="shared" si="26"/>
        <v>6600000</v>
      </c>
      <c r="D63" s="106"/>
      <c r="E63" s="106"/>
      <c r="F63" s="106"/>
      <c r="G63" s="106"/>
      <c r="H63" s="106"/>
      <c r="I63" s="106"/>
      <c r="J63" s="106"/>
      <c r="K63" s="106"/>
      <c r="L63" s="106"/>
      <c r="M63" s="106"/>
      <c r="N63" s="106"/>
      <c r="O63" s="106"/>
      <c r="P63" s="106">
        <f t="shared" si="25"/>
        <v>0</v>
      </c>
      <c r="Q63" s="344">
        <f t="shared" si="11"/>
        <v>0</v>
      </c>
      <c r="R63" s="346">
        <f t="shared" si="22"/>
        <v>6600000</v>
      </c>
      <c r="S63" s="395">
        <f t="shared" si="12"/>
        <v>1</v>
      </c>
      <c r="T63" s="402">
        <f t="shared" si="23"/>
        <v>1650000</v>
      </c>
      <c r="U63" s="109">
        <f t="shared" si="24"/>
        <v>0</v>
      </c>
      <c r="V63" s="403">
        <f t="shared" si="6"/>
        <v>0</v>
      </c>
      <c r="W63" s="347">
        <f t="shared" si="7"/>
        <v>1</v>
      </c>
      <c r="Y63" s="106"/>
      <c r="Z63" s="347"/>
      <c r="AB63" s="106"/>
      <c r="AC63" s="106"/>
      <c r="AD63" s="628"/>
      <c r="AE63" s="627"/>
      <c r="AG63" s="49"/>
    </row>
    <row r="64" spans="1:33" ht="15">
      <c r="A64" s="96" t="s">
        <v>758</v>
      </c>
      <c r="B64" s="106">
        <v>416666.66666666669</v>
      </c>
      <c r="C64" s="106">
        <f t="shared" si="26"/>
        <v>5000000</v>
      </c>
      <c r="D64" s="106"/>
      <c r="E64" s="106"/>
      <c r="F64" s="106"/>
      <c r="G64" s="106"/>
      <c r="H64" s="106"/>
      <c r="I64" s="106"/>
      <c r="J64" s="106"/>
      <c r="K64" s="106"/>
      <c r="L64" s="106"/>
      <c r="M64" s="106"/>
      <c r="N64" s="106"/>
      <c r="O64" s="106"/>
      <c r="P64" s="106">
        <f t="shared" si="25"/>
        <v>0</v>
      </c>
      <c r="Q64" s="344">
        <f t="shared" si="11"/>
        <v>0</v>
      </c>
      <c r="R64" s="346">
        <f t="shared" si="22"/>
        <v>5000000</v>
      </c>
      <c r="S64" s="395">
        <f t="shared" si="12"/>
        <v>1</v>
      </c>
      <c r="T64" s="402">
        <f t="shared" si="23"/>
        <v>1250000</v>
      </c>
      <c r="U64" s="109">
        <f t="shared" si="24"/>
        <v>0</v>
      </c>
      <c r="V64" s="403">
        <f t="shared" si="6"/>
        <v>0</v>
      </c>
      <c r="W64" s="347">
        <f t="shared" si="7"/>
        <v>1</v>
      </c>
      <c r="Y64" s="106"/>
      <c r="Z64" s="347"/>
      <c r="AB64" s="106"/>
      <c r="AC64" s="106"/>
      <c r="AD64" s="628"/>
      <c r="AE64" s="627"/>
      <c r="AG64" s="49"/>
    </row>
    <row r="65" spans="1:33" ht="15">
      <c r="A65" s="96" t="s">
        <v>748</v>
      </c>
      <c r="B65" s="106">
        <v>666666.66666666663</v>
      </c>
      <c r="C65" s="106">
        <f t="shared" si="26"/>
        <v>8000000</v>
      </c>
      <c r="D65" s="106"/>
      <c r="E65" s="106"/>
      <c r="F65" s="106"/>
      <c r="G65" s="106"/>
      <c r="H65" s="106"/>
      <c r="I65" s="106"/>
      <c r="J65" s="106"/>
      <c r="K65" s="106"/>
      <c r="L65" s="106"/>
      <c r="M65" s="106"/>
      <c r="N65" s="106"/>
      <c r="O65" s="106"/>
      <c r="P65" s="106">
        <f t="shared" si="25"/>
        <v>0</v>
      </c>
      <c r="Q65" s="344">
        <f t="shared" si="11"/>
        <v>0</v>
      </c>
      <c r="R65" s="346">
        <f t="shared" si="22"/>
        <v>8000000</v>
      </c>
      <c r="S65" s="395">
        <f t="shared" si="12"/>
        <v>1</v>
      </c>
      <c r="T65" s="402">
        <f t="shared" si="23"/>
        <v>2000000</v>
      </c>
      <c r="U65" s="109">
        <f t="shared" si="24"/>
        <v>0</v>
      </c>
      <c r="V65" s="403">
        <f t="shared" si="6"/>
        <v>0</v>
      </c>
      <c r="W65" s="347">
        <f t="shared" si="7"/>
        <v>1</v>
      </c>
      <c r="Y65" s="106"/>
      <c r="Z65" s="347"/>
      <c r="AB65" s="106"/>
      <c r="AC65" s="106"/>
      <c r="AD65" s="628"/>
      <c r="AE65" s="627"/>
      <c r="AG65" s="49"/>
    </row>
    <row r="66" spans="1:33" ht="15">
      <c r="A66" s="96" t="s">
        <v>749</v>
      </c>
      <c r="B66" s="106">
        <v>144583.33333333334</v>
      </c>
      <c r="C66" s="106">
        <f t="shared" si="26"/>
        <v>1735000</v>
      </c>
      <c r="D66" s="106"/>
      <c r="E66" s="106"/>
      <c r="F66" s="106"/>
      <c r="G66" s="106">
        <f>+C66+C68+C69+C70</f>
        <v>7763000</v>
      </c>
      <c r="H66" s="106"/>
      <c r="I66" s="106"/>
      <c r="J66" s="106"/>
      <c r="K66" s="106"/>
      <c r="L66" s="106"/>
      <c r="M66" s="106"/>
      <c r="N66" s="106"/>
      <c r="O66" s="106"/>
      <c r="P66" s="106">
        <f t="shared" si="25"/>
        <v>7763000</v>
      </c>
      <c r="Q66" s="344">
        <f t="shared" si="11"/>
        <v>4.4743515850144089</v>
      </c>
      <c r="R66" s="346">
        <f t="shared" si="22"/>
        <v>-6028000</v>
      </c>
      <c r="S66" s="395">
        <f t="shared" si="12"/>
        <v>-3.4743515850144093</v>
      </c>
      <c r="T66" s="402">
        <f t="shared" si="23"/>
        <v>433750</v>
      </c>
      <c r="U66" s="109">
        <f t="shared" si="24"/>
        <v>7763000</v>
      </c>
      <c r="V66" s="403">
        <f t="shared" si="6"/>
        <v>17.897406340057636</v>
      </c>
      <c r="W66" s="347">
        <f t="shared" si="7"/>
        <v>0.99999999999999956</v>
      </c>
      <c r="Y66" s="106"/>
      <c r="Z66" s="347"/>
      <c r="AB66" s="106"/>
      <c r="AC66" s="106"/>
      <c r="AD66" s="628"/>
      <c r="AE66" s="627"/>
      <c r="AG66" s="49"/>
    </row>
    <row r="67" spans="1:33" ht="15">
      <c r="A67" s="96" t="s">
        <v>750</v>
      </c>
      <c r="B67" s="106">
        <v>1000000</v>
      </c>
      <c r="C67" s="106">
        <f t="shared" si="26"/>
        <v>12000000</v>
      </c>
      <c r="D67" s="106"/>
      <c r="E67" s="106"/>
      <c r="F67" s="106"/>
      <c r="G67" s="106"/>
      <c r="H67" s="106"/>
      <c r="I67" s="106"/>
      <c r="J67" s="106"/>
      <c r="K67" s="106"/>
      <c r="L67" s="106"/>
      <c r="M67" s="106"/>
      <c r="N67" s="106"/>
      <c r="O67" s="106"/>
      <c r="P67" s="106">
        <f t="shared" si="25"/>
        <v>0</v>
      </c>
      <c r="Q67" s="344">
        <f t="shared" si="11"/>
        <v>0</v>
      </c>
      <c r="R67" s="346">
        <f t="shared" si="22"/>
        <v>12000000</v>
      </c>
      <c r="S67" s="395">
        <f t="shared" si="12"/>
        <v>1</v>
      </c>
      <c r="T67" s="402">
        <f t="shared" si="23"/>
        <v>3000000</v>
      </c>
      <c r="U67" s="109">
        <f t="shared" si="24"/>
        <v>0</v>
      </c>
      <c r="V67" s="403">
        <f t="shared" si="6"/>
        <v>0</v>
      </c>
      <c r="W67" s="347">
        <f t="shared" si="7"/>
        <v>1</v>
      </c>
      <c r="Y67" s="106"/>
      <c r="Z67" s="347"/>
      <c r="AB67" s="106"/>
      <c r="AC67" s="106"/>
      <c r="AD67" s="628"/>
      <c r="AE67" s="627"/>
      <c r="AG67" s="49"/>
    </row>
    <row r="68" spans="1:33" ht="15">
      <c r="A68" s="96" t="s">
        <v>751</v>
      </c>
      <c r="B68" s="106">
        <v>160666.66666666666</v>
      </c>
      <c r="C68" s="106">
        <f t="shared" si="26"/>
        <v>1928000</v>
      </c>
      <c r="D68" s="106"/>
      <c r="E68" s="106"/>
      <c r="F68" s="106"/>
      <c r="G68" s="106"/>
      <c r="H68" s="106"/>
      <c r="I68" s="106">
        <v>3994000</v>
      </c>
      <c r="J68" s="106"/>
      <c r="K68" s="106"/>
      <c r="L68" s="106"/>
      <c r="M68" s="106"/>
      <c r="N68" s="106"/>
      <c r="O68" s="106"/>
      <c r="P68" s="106">
        <f t="shared" si="25"/>
        <v>3994000</v>
      </c>
      <c r="Q68" s="344">
        <f t="shared" si="11"/>
        <v>2.0715767634854774</v>
      </c>
      <c r="R68" s="346">
        <f t="shared" si="22"/>
        <v>-2066000</v>
      </c>
      <c r="S68" s="395">
        <f t="shared" si="12"/>
        <v>-1.0715767634854771</v>
      </c>
      <c r="T68" s="402">
        <f t="shared" si="23"/>
        <v>482000</v>
      </c>
      <c r="U68" s="109">
        <f t="shared" si="24"/>
        <v>3994000</v>
      </c>
      <c r="V68" s="403">
        <f t="shared" si="6"/>
        <v>8.2863070539419095</v>
      </c>
      <c r="W68" s="347">
        <f t="shared" si="7"/>
        <v>1.0000000000000002</v>
      </c>
      <c r="Y68" s="106"/>
      <c r="Z68" s="347"/>
      <c r="AB68" s="106"/>
      <c r="AC68" s="106">
        <f>+AB68+8115000</f>
        <v>8115000</v>
      </c>
      <c r="AD68" s="628"/>
      <c r="AE68" s="627"/>
      <c r="AG68" s="49"/>
    </row>
    <row r="69" spans="1:33" ht="15">
      <c r="A69" s="96" t="s">
        <v>752</v>
      </c>
      <c r="B69" s="106">
        <v>208333.33333333334</v>
      </c>
      <c r="C69" s="106">
        <f t="shared" si="26"/>
        <v>2500000</v>
      </c>
      <c r="D69" s="106"/>
      <c r="E69" s="106"/>
      <c r="F69" s="106"/>
      <c r="G69" s="106"/>
      <c r="H69" s="106"/>
      <c r="I69" s="106"/>
      <c r="J69" s="106"/>
      <c r="K69" s="106"/>
      <c r="L69" s="106"/>
      <c r="M69" s="106"/>
      <c r="N69" s="106"/>
      <c r="O69" s="106"/>
      <c r="P69" s="106">
        <f t="shared" si="25"/>
        <v>0</v>
      </c>
      <c r="Q69" s="344">
        <f t="shared" si="11"/>
        <v>0</v>
      </c>
      <c r="R69" s="346">
        <f t="shared" si="22"/>
        <v>2500000</v>
      </c>
      <c r="S69" s="395">
        <f t="shared" si="12"/>
        <v>1</v>
      </c>
      <c r="T69" s="402">
        <f t="shared" si="23"/>
        <v>625000</v>
      </c>
      <c r="U69" s="109">
        <f t="shared" si="24"/>
        <v>0</v>
      </c>
      <c r="V69" s="403">
        <f t="shared" si="6"/>
        <v>0</v>
      </c>
      <c r="W69" s="347">
        <f t="shared" si="7"/>
        <v>1</v>
      </c>
      <c r="Y69" s="106"/>
      <c r="Z69" s="347"/>
      <c r="AB69" s="106"/>
      <c r="AC69" s="106"/>
      <c r="AD69" s="628"/>
      <c r="AE69" s="627"/>
      <c r="AG69" s="49"/>
    </row>
    <row r="70" spans="1:33" ht="15">
      <c r="A70" s="96" t="s">
        <v>753</v>
      </c>
      <c r="B70" s="106">
        <v>133333.33333333334</v>
      </c>
      <c r="C70" s="106">
        <f t="shared" si="26"/>
        <v>1600000</v>
      </c>
      <c r="D70" s="106"/>
      <c r="E70" s="106"/>
      <c r="F70" s="106"/>
      <c r="G70" s="106"/>
      <c r="H70" s="106"/>
      <c r="I70" s="106"/>
      <c r="J70" s="106"/>
      <c r="K70" s="106"/>
      <c r="L70" s="106"/>
      <c r="M70" s="106"/>
      <c r="N70" s="106"/>
      <c r="O70" s="106"/>
      <c r="P70" s="106">
        <f t="shared" si="25"/>
        <v>0</v>
      </c>
      <c r="Q70" s="344">
        <f t="shared" si="11"/>
        <v>0</v>
      </c>
      <c r="R70" s="346">
        <f t="shared" si="22"/>
        <v>1600000</v>
      </c>
      <c r="S70" s="395">
        <f t="shared" si="12"/>
        <v>1</v>
      </c>
      <c r="T70" s="402">
        <f t="shared" si="23"/>
        <v>400000</v>
      </c>
      <c r="U70" s="109">
        <f t="shared" si="24"/>
        <v>0</v>
      </c>
      <c r="V70" s="403">
        <f t="shared" si="6"/>
        <v>0</v>
      </c>
      <c r="W70" s="347">
        <f t="shared" si="7"/>
        <v>1</v>
      </c>
      <c r="Y70" s="106"/>
      <c r="Z70" s="347"/>
      <c r="AB70" s="106"/>
      <c r="AC70" s="106"/>
      <c r="AD70" s="628"/>
      <c r="AE70" s="627"/>
      <c r="AG70" s="49"/>
    </row>
    <row r="71" spans="1:33" ht="15">
      <c r="A71" s="96" t="s">
        <v>754</v>
      </c>
      <c r="B71" s="106">
        <v>333333.33333333331</v>
      </c>
      <c r="C71" s="106">
        <f t="shared" si="26"/>
        <v>4000000</v>
      </c>
      <c r="D71" s="106"/>
      <c r="E71" s="106"/>
      <c r="F71" s="106"/>
      <c r="G71" s="106"/>
      <c r="H71" s="106">
        <v>2500000</v>
      </c>
      <c r="I71" s="106"/>
      <c r="J71" s="106"/>
      <c r="K71" s="106"/>
      <c r="L71" s="106"/>
      <c r="M71" s="106"/>
      <c r="N71" s="106"/>
      <c r="O71" s="106"/>
      <c r="P71" s="106">
        <f t="shared" si="25"/>
        <v>2500000</v>
      </c>
      <c r="Q71" s="344">
        <f t="shared" si="11"/>
        <v>0.625</v>
      </c>
      <c r="R71" s="346">
        <f t="shared" si="22"/>
        <v>1500000</v>
      </c>
      <c r="S71" s="395">
        <f t="shared" si="12"/>
        <v>0.375</v>
      </c>
      <c r="T71" s="402">
        <f t="shared" si="23"/>
        <v>1000000</v>
      </c>
      <c r="U71" s="109">
        <f t="shared" si="24"/>
        <v>2500000</v>
      </c>
      <c r="V71" s="403">
        <f t="shared" ref="V71:V74" si="27">+U71/T71</f>
        <v>2.5</v>
      </c>
      <c r="W71" s="347">
        <f t="shared" ref="W71:W74" si="28">+S71+Q71</f>
        <v>1</v>
      </c>
      <c r="Y71" s="106"/>
      <c r="Z71" s="347"/>
      <c r="AB71" s="106"/>
      <c r="AC71" s="106"/>
      <c r="AD71" s="628"/>
      <c r="AE71" s="627"/>
      <c r="AG71" s="49"/>
    </row>
    <row r="72" spans="1:33" ht="15">
      <c r="A72" s="96" t="s">
        <v>739</v>
      </c>
      <c r="B72" s="106">
        <v>208333.33333333334</v>
      </c>
      <c r="C72" s="106">
        <f t="shared" si="26"/>
        <v>2500000</v>
      </c>
      <c r="D72" s="106"/>
      <c r="E72" s="106"/>
      <c r="F72" s="106"/>
      <c r="G72" s="106"/>
      <c r="H72" s="106"/>
      <c r="I72" s="106"/>
      <c r="J72" s="106"/>
      <c r="K72" s="106"/>
      <c r="L72" s="106"/>
      <c r="M72" s="106"/>
      <c r="N72" s="106"/>
      <c r="O72" s="106"/>
      <c r="P72" s="106">
        <f t="shared" si="25"/>
        <v>0</v>
      </c>
      <c r="Q72" s="344">
        <f t="shared" si="11"/>
        <v>0</v>
      </c>
      <c r="R72" s="346">
        <f t="shared" si="22"/>
        <v>2500000</v>
      </c>
      <c r="S72" s="395">
        <f t="shared" si="12"/>
        <v>1</v>
      </c>
      <c r="T72" s="402">
        <f t="shared" si="23"/>
        <v>625000</v>
      </c>
      <c r="U72" s="109">
        <f t="shared" si="24"/>
        <v>0</v>
      </c>
      <c r="V72" s="403">
        <f t="shared" si="27"/>
        <v>0</v>
      </c>
      <c r="W72" s="347">
        <f t="shared" si="28"/>
        <v>1</v>
      </c>
      <c r="Y72" s="106"/>
      <c r="Z72" s="347"/>
      <c r="AB72" s="106"/>
      <c r="AC72" s="106"/>
      <c r="AD72" s="628"/>
      <c r="AE72" s="627"/>
      <c r="AG72" s="49"/>
    </row>
    <row r="73" spans="1:33" ht="15">
      <c r="A73" s="96" t="s">
        <v>755</v>
      </c>
      <c r="B73" s="106">
        <v>583333.33333333337</v>
      </c>
      <c r="C73" s="106">
        <f t="shared" si="26"/>
        <v>7000000</v>
      </c>
      <c r="D73" s="106">
        <v>190000</v>
      </c>
      <c r="E73" s="106"/>
      <c r="F73" s="106"/>
      <c r="G73" s="106"/>
      <c r="H73" s="106"/>
      <c r="I73" s="106"/>
      <c r="J73" s="106"/>
      <c r="K73" s="106"/>
      <c r="L73" s="106"/>
      <c r="M73" s="106"/>
      <c r="N73" s="106"/>
      <c r="O73" s="106"/>
      <c r="P73" s="106">
        <f t="shared" si="25"/>
        <v>190000</v>
      </c>
      <c r="Q73" s="344">
        <f t="shared" si="11"/>
        <v>2.7142857142857142E-2</v>
      </c>
      <c r="R73" s="346">
        <f t="shared" si="22"/>
        <v>6810000</v>
      </c>
      <c r="S73" s="395">
        <f t="shared" si="12"/>
        <v>0.97285714285714286</v>
      </c>
      <c r="T73" s="402">
        <f t="shared" si="23"/>
        <v>1750000</v>
      </c>
      <c r="U73" s="109">
        <f t="shared" si="24"/>
        <v>190000</v>
      </c>
      <c r="V73" s="403">
        <f t="shared" si="27"/>
        <v>0.10857142857142857</v>
      </c>
      <c r="W73" s="347">
        <f t="shared" si="28"/>
        <v>1</v>
      </c>
      <c r="Y73" s="106"/>
      <c r="Z73" s="347"/>
      <c r="AB73" s="106"/>
      <c r="AC73" s="106"/>
      <c r="AD73" s="628"/>
      <c r="AE73" s="627"/>
      <c r="AG73" s="49"/>
    </row>
    <row r="74" spans="1:33" ht="15">
      <c r="A74" s="96" t="s">
        <v>756</v>
      </c>
      <c r="B74" s="106">
        <v>108333.33333333333</v>
      </c>
      <c r="C74" s="106">
        <f t="shared" si="26"/>
        <v>1300000</v>
      </c>
      <c r="D74" s="106"/>
      <c r="E74" s="106"/>
      <c r="F74" s="106"/>
      <c r="G74" s="106"/>
      <c r="H74" s="106"/>
      <c r="I74" s="106"/>
      <c r="J74" s="106"/>
      <c r="K74" s="106"/>
      <c r="L74" s="106"/>
      <c r="M74" s="106"/>
      <c r="N74" s="106"/>
      <c r="O74" s="106"/>
      <c r="P74" s="106">
        <f t="shared" si="25"/>
        <v>0</v>
      </c>
      <c r="Q74" s="344">
        <f t="shared" si="11"/>
        <v>0</v>
      </c>
      <c r="R74" s="346">
        <f t="shared" si="22"/>
        <v>1300000</v>
      </c>
      <c r="S74" s="395">
        <f t="shared" si="12"/>
        <v>1</v>
      </c>
      <c r="T74" s="402">
        <f t="shared" si="23"/>
        <v>325000</v>
      </c>
      <c r="U74" s="109">
        <f t="shared" si="24"/>
        <v>0</v>
      </c>
      <c r="V74" s="403">
        <f t="shared" si="27"/>
        <v>0</v>
      </c>
      <c r="W74" s="347">
        <f t="shared" si="28"/>
        <v>1</v>
      </c>
      <c r="Y74" s="106"/>
      <c r="Z74" s="347"/>
      <c r="AB74" s="106"/>
      <c r="AC74" s="106"/>
      <c r="AD74" s="628"/>
      <c r="AE74" s="627"/>
      <c r="AG74" s="49"/>
    </row>
    <row r="75" spans="1:33" s="343" customFormat="1" ht="22.5" customHeight="1">
      <c r="A75" s="342" t="s">
        <v>131</v>
      </c>
      <c r="B75" s="337">
        <f t="shared" ref="B75:P75" si="29">SUM(B36:B74)</f>
        <v>15364450.666666668</v>
      </c>
      <c r="C75" s="337">
        <f t="shared" si="29"/>
        <v>184373408</v>
      </c>
      <c r="D75" s="337">
        <f t="shared" si="29"/>
        <v>6834241</v>
      </c>
      <c r="E75" s="337">
        <f t="shared" si="29"/>
        <v>9283277</v>
      </c>
      <c r="F75" s="337">
        <f t="shared" si="29"/>
        <v>11613600</v>
      </c>
      <c r="G75" s="337">
        <f t="shared" si="29"/>
        <v>11954364</v>
      </c>
      <c r="H75" s="337">
        <f t="shared" si="29"/>
        <v>9199950</v>
      </c>
      <c r="I75" s="337">
        <f t="shared" si="29"/>
        <v>11263725</v>
      </c>
      <c r="J75" s="337">
        <f t="shared" si="29"/>
        <v>0</v>
      </c>
      <c r="K75" s="337">
        <f t="shared" si="29"/>
        <v>0</v>
      </c>
      <c r="L75" s="337">
        <f t="shared" si="29"/>
        <v>0</v>
      </c>
      <c r="M75" s="337">
        <f t="shared" si="29"/>
        <v>0</v>
      </c>
      <c r="N75" s="337">
        <f t="shared" si="29"/>
        <v>0</v>
      </c>
      <c r="O75" s="337">
        <f t="shared" si="29"/>
        <v>0</v>
      </c>
      <c r="P75" s="337">
        <f t="shared" si="29"/>
        <v>60149157</v>
      </c>
      <c r="Q75" s="348">
        <f>+P75/C75</f>
        <v>0.32623553283779405</v>
      </c>
      <c r="R75" s="337">
        <f>SUM(R36:R74)</f>
        <v>124224251</v>
      </c>
      <c r="S75" s="397">
        <f t="shared" si="12"/>
        <v>0.67376446716220595</v>
      </c>
      <c r="T75" s="337">
        <f>SUM(T36:T74)</f>
        <v>46093352</v>
      </c>
      <c r="U75" s="337">
        <f>SUM(U36:U74)</f>
        <v>60149157</v>
      </c>
      <c r="V75" s="412">
        <f>+U75/T75</f>
        <v>1.3049421313511762</v>
      </c>
      <c r="W75" s="347">
        <f>+S75+Q75</f>
        <v>1</v>
      </c>
      <c r="X75"/>
      <c r="Y75" s="106"/>
      <c r="Z75" s="347"/>
      <c r="AA75"/>
      <c r="AB75" s="106"/>
      <c r="AC75" s="106"/>
      <c r="AD75" s="628"/>
      <c r="AE75" s="623"/>
      <c r="AG75" s="343">
        <v>5330324</v>
      </c>
    </row>
    <row r="76" spans="1:33" ht="15">
      <c r="A76" s="96" t="s">
        <v>134</v>
      </c>
      <c r="B76" s="106">
        <v>583333</v>
      </c>
      <c r="C76" s="106">
        <f t="shared" ref="C76:C86" si="30">+B76*12</f>
        <v>6999996</v>
      </c>
      <c r="D76" s="106">
        <v>100</v>
      </c>
      <c r="E76" s="106">
        <v>755629</v>
      </c>
      <c r="F76" s="106">
        <v>330000</v>
      </c>
      <c r="G76" s="106"/>
      <c r="H76" s="106">
        <v>826943</v>
      </c>
      <c r="I76" s="106">
        <v>595000</v>
      </c>
      <c r="J76" s="106"/>
      <c r="K76" s="106"/>
      <c r="L76" s="106"/>
      <c r="M76" s="106"/>
      <c r="N76" s="106"/>
      <c r="O76" s="106"/>
      <c r="P76" s="106">
        <f t="shared" ref="P76:P86" si="31">SUM(D76:O76)</f>
        <v>2507672</v>
      </c>
      <c r="Q76" s="344">
        <f t="shared" ref="Q76:Q89" si="32">+P76/C76</f>
        <v>0.35823906185089249</v>
      </c>
      <c r="R76" s="346">
        <f t="shared" ref="R76:R86" si="33">+C76-P76</f>
        <v>4492324</v>
      </c>
      <c r="S76" s="395">
        <f t="shared" si="12"/>
        <v>0.64176093814910751</v>
      </c>
      <c r="T76" s="402">
        <f t="shared" ref="T76:T86" si="34">+B76*$T$3</f>
        <v>1749999</v>
      </c>
      <c r="U76" s="109">
        <f t="shared" ref="U76:U86" si="35">+P76</f>
        <v>2507672</v>
      </c>
      <c r="V76" s="403">
        <f t="shared" ref="V76:V92" si="36">+U76/T76</f>
        <v>1.43295624740357</v>
      </c>
      <c r="W76" s="347">
        <f t="shared" ref="W76:W92" si="37">+S76+Q76</f>
        <v>1</v>
      </c>
      <c r="Y76" s="106"/>
      <c r="Z76" s="347"/>
      <c r="AB76" s="106"/>
      <c r="AC76" s="106"/>
      <c r="AD76" s="628"/>
      <c r="AE76" s="623"/>
      <c r="AG76" s="49">
        <f>+AG59-AG75</f>
        <v>1503917</v>
      </c>
    </row>
    <row r="77" spans="1:33" ht="15.75">
      <c r="A77" s="96" t="s">
        <v>135</v>
      </c>
      <c r="B77" s="106">
        <v>121833</v>
      </c>
      <c r="C77" s="106">
        <f t="shared" si="30"/>
        <v>1461996</v>
      </c>
      <c r="D77" s="106">
        <v>210980</v>
      </c>
      <c r="E77" s="106">
        <v>334960</v>
      </c>
      <c r="F77" s="106">
        <v>171700</v>
      </c>
      <c r="G77" s="106"/>
      <c r="H77" s="106">
        <v>76000</v>
      </c>
      <c r="I77" s="106">
        <v>55200</v>
      </c>
      <c r="J77" s="106"/>
      <c r="K77" s="106"/>
      <c r="L77" s="106"/>
      <c r="M77" s="106"/>
      <c r="N77" s="106"/>
      <c r="O77" s="106"/>
      <c r="P77" s="106">
        <f t="shared" si="31"/>
        <v>848840</v>
      </c>
      <c r="Q77" s="344">
        <f t="shared" si="32"/>
        <v>0.5806035037031565</v>
      </c>
      <c r="R77" s="346">
        <f t="shared" si="33"/>
        <v>613156</v>
      </c>
      <c r="S77" s="395">
        <f t="shared" si="12"/>
        <v>0.4193964962968435</v>
      </c>
      <c r="T77" s="402">
        <f t="shared" si="34"/>
        <v>365499</v>
      </c>
      <c r="U77" s="109">
        <f t="shared" si="35"/>
        <v>848840</v>
      </c>
      <c r="V77" s="403">
        <f t="shared" si="36"/>
        <v>2.322414014812626</v>
      </c>
      <c r="W77" s="347">
        <f t="shared" si="37"/>
        <v>1</v>
      </c>
      <c r="Y77" s="106"/>
      <c r="Z77" s="347"/>
      <c r="AB77" s="106"/>
      <c r="AC77" s="106"/>
      <c r="AD77" s="629"/>
      <c r="AE77" s="623"/>
    </row>
    <row r="78" spans="1:33" ht="15">
      <c r="A78" s="96" t="s">
        <v>136</v>
      </c>
      <c r="B78" s="106">
        <v>150000</v>
      </c>
      <c r="C78" s="106">
        <f t="shared" si="30"/>
        <v>1800000</v>
      </c>
      <c r="D78" s="106">
        <v>140800</v>
      </c>
      <c r="E78" s="106">
        <v>467609</v>
      </c>
      <c r="F78" s="106">
        <v>36700</v>
      </c>
      <c r="G78" s="106"/>
      <c r="H78" s="106">
        <v>128900</v>
      </c>
      <c r="I78" s="106">
        <v>9790</v>
      </c>
      <c r="J78" s="106"/>
      <c r="K78" s="106"/>
      <c r="L78" s="106"/>
      <c r="M78" s="106"/>
      <c r="N78" s="106"/>
      <c r="O78" s="106"/>
      <c r="P78" s="106">
        <f t="shared" si="31"/>
        <v>783799</v>
      </c>
      <c r="Q78" s="344">
        <f t="shared" si="32"/>
        <v>0.43544388888888891</v>
      </c>
      <c r="R78" s="346">
        <f t="shared" si="33"/>
        <v>1016201</v>
      </c>
      <c r="S78" s="395">
        <f t="shared" si="12"/>
        <v>0.56455611111111115</v>
      </c>
      <c r="T78" s="402">
        <f t="shared" si="34"/>
        <v>450000</v>
      </c>
      <c r="U78" s="109">
        <f t="shared" si="35"/>
        <v>783799</v>
      </c>
      <c r="V78" s="403">
        <f t="shared" si="36"/>
        <v>1.7417755555555556</v>
      </c>
      <c r="W78" s="347">
        <f t="shared" si="37"/>
        <v>1</v>
      </c>
      <c r="Y78" s="106"/>
      <c r="Z78" s="347"/>
      <c r="AB78" s="106"/>
      <c r="AC78" s="106"/>
      <c r="AD78" s="628"/>
      <c r="AE78" s="623"/>
    </row>
    <row r="79" spans="1:33" ht="15">
      <c r="A79" s="96" t="s">
        <v>156</v>
      </c>
      <c r="B79" s="106">
        <v>77000</v>
      </c>
      <c r="C79" s="106">
        <f t="shared" si="30"/>
        <v>924000</v>
      </c>
      <c r="D79" s="106">
        <v>32900</v>
      </c>
      <c r="E79" s="106">
        <v>32500</v>
      </c>
      <c r="F79" s="106"/>
      <c r="G79" s="106"/>
      <c r="H79" s="106"/>
      <c r="I79" s="106">
        <v>31000</v>
      </c>
      <c r="J79" s="106"/>
      <c r="K79" s="106"/>
      <c r="L79" s="106"/>
      <c r="M79" s="106"/>
      <c r="N79" s="106"/>
      <c r="O79" s="106"/>
      <c r="P79" s="106">
        <f t="shared" si="31"/>
        <v>96400</v>
      </c>
      <c r="Q79" s="344">
        <f t="shared" si="32"/>
        <v>0.10432900432900433</v>
      </c>
      <c r="R79" s="346">
        <f t="shared" si="33"/>
        <v>827600</v>
      </c>
      <c r="S79" s="395">
        <f t="shared" si="12"/>
        <v>0.89567099567099562</v>
      </c>
      <c r="T79" s="402">
        <f t="shared" si="34"/>
        <v>231000</v>
      </c>
      <c r="U79" s="109">
        <f t="shared" si="35"/>
        <v>96400</v>
      </c>
      <c r="V79" s="403">
        <f t="shared" si="36"/>
        <v>0.41731601731601731</v>
      </c>
      <c r="W79" s="347">
        <f t="shared" si="37"/>
        <v>1</v>
      </c>
      <c r="Y79" s="106"/>
      <c r="Z79" s="347"/>
      <c r="AB79" s="106"/>
      <c r="AC79" s="106"/>
      <c r="AD79" s="628"/>
      <c r="AE79" s="623"/>
    </row>
    <row r="80" spans="1:33" ht="15">
      <c r="A80" s="96" t="s">
        <v>137</v>
      </c>
      <c r="B80" s="106">
        <v>125000</v>
      </c>
      <c r="C80" s="106">
        <f t="shared" si="30"/>
        <v>1500000</v>
      </c>
      <c r="D80" s="106"/>
      <c r="E80" s="106"/>
      <c r="F80" s="106"/>
      <c r="G80" s="106"/>
      <c r="H80" s="106"/>
      <c r="I80" s="106"/>
      <c r="J80" s="106"/>
      <c r="K80" s="106"/>
      <c r="L80" s="106"/>
      <c r="M80" s="106"/>
      <c r="N80" s="106"/>
      <c r="O80" s="106"/>
      <c r="P80" s="106">
        <f t="shared" si="31"/>
        <v>0</v>
      </c>
      <c r="Q80" s="344">
        <f t="shared" si="32"/>
        <v>0</v>
      </c>
      <c r="R80" s="346">
        <f t="shared" si="33"/>
        <v>1500000</v>
      </c>
      <c r="S80" s="395">
        <f t="shared" si="12"/>
        <v>1</v>
      </c>
      <c r="T80" s="402">
        <f t="shared" si="34"/>
        <v>375000</v>
      </c>
      <c r="U80" s="109">
        <f t="shared" si="35"/>
        <v>0</v>
      </c>
      <c r="V80" s="403">
        <f t="shared" si="36"/>
        <v>0</v>
      </c>
      <c r="W80" s="347">
        <f t="shared" si="37"/>
        <v>1</v>
      </c>
      <c r="Y80" s="106"/>
      <c r="Z80" s="347"/>
      <c r="AB80" s="106"/>
      <c r="AC80" s="106"/>
      <c r="AD80" s="628"/>
      <c r="AE80" s="623"/>
    </row>
    <row r="81" spans="1:31" ht="15">
      <c r="A81" s="96" t="s">
        <v>138</v>
      </c>
      <c r="B81" s="106">
        <v>574000</v>
      </c>
      <c r="C81" s="106">
        <f t="shared" si="30"/>
        <v>6888000</v>
      </c>
      <c r="D81" s="106"/>
      <c r="E81" s="106">
        <v>2341000</v>
      </c>
      <c r="F81" s="106">
        <v>-2341000</v>
      </c>
      <c r="G81" s="106">
        <v>533670</v>
      </c>
      <c r="H81" s="106">
        <v>595000</v>
      </c>
      <c r="I81" s="106">
        <v>210700</v>
      </c>
      <c r="J81" s="106"/>
      <c r="K81" s="106"/>
      <c r="L81" s="106"/>
      <c r="M81" s="106"/>
      <c r="N81" s="106"/>
      <c r="O81" s="106"/>
      <c r="P81" s="106">
        <f t="shared" si="31"/>
        <v>1339370</v>
      </c>
      <c r="Q81" s="344">
        <f t="shared" si="32"/>
        <v>0.19444976771196285</v>
      </c>
      <c r="R81" s="346">
        <f t="shared" si="33"/>
        <v>5548630</v>
      </c>
      <c r="S81" s="395">
        <f t="shared" si="12"/>
        <v>0.80555023228803713</v>
      </c>
      <c r="T81" s="402">
        <f t="shared" si="34"/>
        <v>1722000</v>
      </c>
      <c r="U81" s="109">
        <f t="shared" si="35"/>
        <v>1339370</v>
      </c>
      <c r="V81" s="403">
        <f t="shared" si="36"/>
        <v>0.77779907084785138</v>
      </c>
      <c r="W81" s="347">
        <f t="shared" si="37"/>
        <v>1</v>
      </c>
      <c r="Y81" s="106"/>
      <c r="Z81" s="347"/>
      <c r="AA81" s="49"/>
      <c r="AB81" s="106"/>
      <c r="AC81" s="106"/>
      <c r="AD81" s="628"/>
      <c r="AE81" s="623"/>
    </row>
    <row r="82" spans="1:31" ht="15">
      <c r="A82" s="96" t="s">
        <v>185</v>
      </c>
      <c r="B82" s="106">
        <v>150000</v>
      </c>
      <c r="C82" s="106">
        <f t="shared" si="30"/>
        <v>1800000</v>
      </c>
      <c r="D82" s="106"/>
      <c r="E82" s="106"/>
      <c r="F82" s="106"/>
      <c r="G82" s="106"/>
      <c r="H82" s="106"/>
      <c r="I82" s="106"/>
      <c r="J82" s="106"/>
      <c r="K82" s="106"/>
      <c r="L82" s="106"/>
      <c r="M82" s="106"/>
      <c r="N82" s="106"/>
      <c r="O82" s="106"/>
      <c r="P82" s="106">
        <f t="shared" si="31"/>
        <v>0</v>
      </c>
      <c r="Q82" s="344">
        <f t="shared" si="32"/>
        <v>0</v>
      </c>
      <c r="R82" s="346">
        <f t="shared" si="33"/>
        <v>1800000</v>
      </c>
      <c r="S82" s="395">
        <f t="shared" si="12"/>
        <v>1</v>
      </c>
      <c r="T82" s="402">
        <f t="shared" si="34"/>
        <v>450000</v>
      </c>
      <c r="U82" s="109">
        <f t="shared" si="35"/>
        <v>0</v>
      </c>
      <c r="V82" s="403">
        <f t="shared" si="36"/>
        <v>0</v>
      </c>
      <c r="W82" s="347">
        <f t="shared" si="37"/>
        <v>1</v>
      </c>
      <c r="Y82" s="106"/>
      <c r="Z82" s="347"/>
      <c r="AB82" s="106"/>
      <c r="AC82" s="106"/>
      <c r="AD82" s="628"/>
      <c r="AE82" s="623"/>
    </row>
    <row r="83" spans="1:31" ht="15">
      <c r="A83" s="96" t="s">
        <v>47</v>
      </c>
      <c r="B83" s="106">
        <v>125000</v>
      </c>
      <c r="C83" s="106">
        <f t="shared" si="30"/>
        <v>1500000</v>
      </c>
      <c r="D83" s="106">
        <f>101444+585</f>
        <v>102029</v>
      </c>
      <c r="E83" s="106">
        <v>287541</v>
      </c>
      <c r="F83" s="106">
        <v>128817</v>
      </c>
      <c r="G83" s="106">
        <f>25846+477</f>
        <v>26323</v>
      </c>
      <c r="H83" s="106">
        <v>40244</v>
      </c>
      <c r="I83" s="106">
        <v>30096</v>
      </c>
      <c r="J83" s="106"/>
      <c r="K83" s="106"/>
      <c r="L83" s="106"/>
      <c r="M83" s="106"/>
      <c r="N83" s="106"/>
      <c r="O83" s="106"/>
      <c r="P83" s="106">
        <f t="shared" si="31"/>
        <v>615050</v>
      </c>
      <c r="Q83" s="344">
        <f t="shared" si="32"/>
        <v>0.41003333333333336</v>
      </c>
      <c r="R83" s="346">
        <f t="shared" si="33"/>
        <v>884950</v>
      </c>
      <c r="S83" s="395">
        <f t="shared" ref="S83:S89" si="38">+R83/C83</f>
        <v>0.58996666666666664</v>
      </c>
      <c r="T83" s="402">
        <f t="shared" si="34"/>
        <v>375000</v>
      </c>
      <c r="U83" s="109">
        <f t="shared" si="35"/>
        <v>615050</v>
      </c>
      <c r="V83" s="403">
        <f t="shared" si="36"/>
        <v>1.6401333333333334</v>
      </c>
      <c r="W83" s="347">
        <f t="shared" si="37"/>
        <v>1</v>
      </c>
      <c r="Y83" s="106"/>
      <c r="Z83" s="347"/>
      <c r="AB83" s="106"/>
      <c r="AC83" s="106"/>
      <c r="AD83" s="628"/>
      <c r="AE83" s="623"/>
    </row>
    <row r="84" spans="1:31" ht="15">
      <c r="A84" s="96" t="s">
        <v>186</v>
      </c>
      <c r="B84" s="106">
        <v>300000</v>
      </c>
      <c r="C84" s="106">
        <f t="shared" si="30"/>
        <v>3600000</v>
      </c>
      <c r="D84" s="106"/>
      <c r="E84" s="106"/>
      <c r="F84" s="106"/>
      <c r="G84" s="106"/>
      <c r="H84" s="106"/>
      <c r="I84" s="106">
        <v>555000</v>
      </c>
      <c r="J84" s="106"/>
      <c r="K84" s="106"/>
      <c r="L84" s="106"/>
      <c r="M84" s="106"/>
      <c r="N84" s="106"/>
      <c r="O84" s="106"/>
      <c r="P84" s="106">
        <f t="shared" si="31"/>
        <v>555000</v>
      </c>
      <c r="Q84" s="344">
        <f t="shared" si="32"/>
        <v>0.15416666666666667</v>
      </c>
      <c r="R84" s="346">
        <f t="shared" si="33"/>
        <v>3045000</v>
      </c>
      <c r="S84" s="395">
        <f t="shared" si="38"/>
        <v>0.84583333333333333</v>
      </c>
      <c r="T84" s="402">
        <f t="shared" si="34"/>
        <v>900000</v>
      </c>
      <c r="U84" s="109">
        <f t="shared" si="35"/>
        <v>555000</v>
      </c>
      <c r="V84" s="403">
        <f t="shared" si="36"/>
        <v>0.6166666666666667</v>
      </c>
      <c r="W84" s="347">
        <f t="shared" si="37"/>
        <v>1</v>
      </c>
      <c r="Y84" s="106"/>
      <c r="Z84" s="347"/>
      <c r="AB84" s="106"/>
      <c r="AC84" s="106"/>
      <c r="AD84" s="628"/>
      <c r="AE84" s="623"/>
    </row>
    <row r="85" spans="1:31" ht="15">
      <c r="A85" s="96" t="s">
        <v>1027</v>
      </c>
      <c r="B85" s="106">
        <f>+C85/12</f>
        <v>833333.33333333337</v>
      </c>
      <c r="C85" s="106">
        <v>10000000</v>
      </c>
      <c r="D85" s="106"/>
      <c r="E85" s="106"/>
      <c r="F85" s="106"/>
      <c r="G85" s="106"/>
      <c r="H85" s="106">
        <v>1108083</v>
      </c>
      <c r="I85" s="106">
        <v>1963000</v>
      </c>
      <c r="J85" s="106"/>
      <c r="K85" s="106"/>
      <c r="L85" s="106"/>
      <c r="M85" s="106"/>
      <c r="N85" s="106"/>
      <c r="O85" s="106"/>
      <c r="P85" s="106">
        <f t="shared" ref="P85" si="39">SUM(D85:O85)</f>
        <v>3071083</v>
      </c>
      <c r="Q85" s="344">
        <f t="shared" si="32"/>
        <v>0.3071083</v>
      </c>
      <c r="R85" s="346">
        <f t="shared" si="33"/>
        <v>6928917</v>
      </c>
      <c r="S85" s="395">
        <f t="shared" si="38"/>
        <v>0.6928917</v>
      </c>
      <c r="T85" s="402">
        <f t="shared" si="34"/>
        <v>2500000</v>
      </c>
      <c r="U85" s="109">
        <f t="shared" si="35"/>
        <v>3071083</v>
      </c>
      <c r="V85" s="403">
        <f t="shared" si="36"/>
        <v>1.2284332</v>
      </c>
      <c r="W85" s="347">
        <f t="shared" si="37"/>
        <v>1</v>
      </c>
      <c r="Y85" s="106"/>
      <c r="Z85" s="347"/>
      <c r="AB85" s="106"/>
      <c r="AC85" s="106"/>
      <c r="AD85" s="628"/>
      <c r="AE85" s="623"/>
    </row>
    <row r="86" spans="1:31" ht="15">
      <c r="A86" s="96" t="s">
        <v>757</v>
      </c>
      <c r="B86" s="106">
        <v>131050</v>
      </c>
      <c r="C86" s="106">
        <f t="shared" si="30"/>
        <v>1572600</v>
      </c>
      <c r="D86" s="106">
        <v>570684</v>
      </c>
      <c r="E86" s="106">
        <v>298050</v>
      </c>
      <c r="F86" s="106"/>
      <c r="G86" s="106"/>
      <c r="H86" s="106"/>
      <c r="I86" s="106"/>
      <c r="J86" s="106"/>
      <c r="K86" s="106"/>
      <c r="L86" s="106"/>
      <c r="M86" s="106"/>
      <c r="N86" s="106"/>
      <c r="O86" s="106"/>
      <c r="P86" s="106">
        <f t="shared" si="31"/>
        <v>868734</v>
      </c>
      <c r="Q86" s="344">
        <f t="shared" si="32"/>
        <v>0.55241892407478066</v>
      </c>
      <c r="R86" s="346">
        <f t="shared" si="33"/>
        <v>703866</v>
      </c>
      <c r="S86" s="395">
        <f t="shared" si="38"/>
        <v>0.4475810759252194</v>
      </c>
      <c r="T86" s="402">
        <f t="shared" si="34"/>
        <v>393150</v>
      </c>
      <c r="U86" s="109">
        <f t="shared" si="35"/>
        <v>868734</v>
      </c>
      <c r="V86" s="403">
        <f t="shared" si="36"/>
        <v>2.2096756962991226</v>
      </c>
      <c r="W86" s="347">
        <f t="shared" si="37"/>
        <v>1</v>
      </c>
      <c r="X86" s="347"/>
      <c r="Y86" s="347"/>
      <c r="Z86" s="347"/>
      <c r="AA86" s="347"/>
      <c r="AB86" s="106"/>
      <c r="AC86" s="106"/>
      <c r="AD86" s="628"/>
      <c r="AE86" s="623"/>
    </row>
    <row r="87" spans="1:31" s="343" customFormat="1" ht="22.5" customHeight="1">
      <c r="A87" s="342" t="s">
        <v>139</v>
      </c>
      <c r="B87" s="337">
        <f>SUM(B76:B86)</f>
        <v>3170549.3333333335</v>
      </c>
      <c r="C87" s="337">
        <f t="shared" ref="C87:U87" si="40">SUM(C76:C86)</f>
        <v>38046592</v>
      </c>
      <c r="D87" s="337">
        <f t="shared" si="40"/>
        <v>1057493</v>
      </c>
      <c r="E87" s="337">
        <f t="shared" si="40"/>
        <v>4517289</v>
      </c>
      <c r="F87" s="337">
        <f t="shared" si="40"/>
        <v>-1673783</v>
      </c>
      <c r="G87" s="337">
        <f t="shared" si="40"/>
        <v>559993</v>
      </c>
      <c r="H87" s="337">
        <f t="shared" si="40"/>
        <v>2775170</v>
      </c>
      <c r="I87" s="337">
        <f t="shared" si="40"/>
        <v>3449786</v>
      </c>
      <c r="J87" s="337">
        <f t="shared" si="40"/>
        <v>0</v>
      </c>
      <c r="K87" s="337">
        <f t="shared" si="40"/>
        <v>0</v>
      </c>
      <c r="L87" s="337">
        <f t="shared" si="40"/>
        <v>0</v>
      </c>
      <c r="M87" s="337">
        <f t="shared" si="40"/>
        <v>0</v>
      </c>
      <c r="N87" s="337">
        <f t="shared" si="40"/>
        <v>0</v>
      </c>
      <c r="O87" s="337">
        <f t="shared" si="40"/>
        <v>0</v>
      </c>
      <c r="P87" s="337">
        <f t="shared" si="40"/>
        <v>10685948</v>
      </c>
      <c r="Q87" s="348">
        <f t="shared" si="32"/>
        <v>0.28086478809981191</v>
      </c>
      <c r="R87" s="337">
        <f t="shared" si="40"/>
        <v>27360644</v>
      </c>
      <c r="S87" s="397">
        <f t="shared" si="38"/>
        <v>0.71913521190018803</v>
      </c>
      <c r="T87" s="337">
        <f t="shared" si="40"/>
        <v>9511648</v>
      </c>
      <c r="U87" s="337">
        <f t="shared" si="40"/>
        <v>10685948</v>
      </c>
      <c r="V87" s="412">
        <f t="shared" si="36"/>
        <v>1.1234591523992477</v>
      </c>
      <c r="W87" s="347">
        <f t="shared" si="37"/>
        <v>1</v>
      </c>
      <c r="X87" s="347"/>
      <c r="Y87" s="347"/>
      <c r="Z87" s="347"/>
      <c r="AA87" s="347"/>
      <c r="AB87" s="106"/>
      <c r="AC87" s="106"/>
      <c r="AD87" s="628"/>
      <c r="AE87" s="623"/>
    </row>
    <row r="88" spans="1:31" s="343" customFormat="1" ht="22.5" customHeight="1">
      <c r="A88" s="342" t="s">
        <v>140</v>
      </c>
      <c r="B88" s="337">
        <f t="shared" ref="B88:P88" si="41">+B24+B26+B35+B75+B87</f>
        <v>85266000</v>
      </c>
      <c r="C88" s="337">
        <f t="shared" si="41"/>
        <v>1023192000</v>
      </c>
      <c r="D88" s="337">
        <f t="shared" si="41"/>
        <v>70305922</v>
      </c>
      <c r="E88" s="337">
        <f t="shared" si="41"/>
        <v>77900815</v>
      </c>
      <c r="F88" s="337">
        <f t="shared" si="41"/>
        <v>75101994</v>
      </c>
      <c r="G88" s="337">
        <f t="shared" si="41"/>
        <v>76119077</v>
      </c>
      <c r="H88" s="337">
        <f t="shared" si="41"/>
        <v>76365247</v>
      </c>
      <c r="I88" s="337">
        <f t="shared" si="41"/>
        <v>80074394</v>
      </c>
      <c r="J88" s="337">
        <f t="shared" si="41"/>
        <v>0</v>
      </c>
      <c r="K88" s="337">
        <f t="shared" si="41"/>
        <v>0</v>
      </c>
      <c r="L88" s="337">
        <f t="shared" si="41"/>
        <v>0</v>
      </c>
      <c r="M88" s="337">
        <f t="shared" si="41"/>
        <v>0</v>
      </c>
      <c r="N88" s="337">
        <f t="shared" si="41"/>
        <v>0</v>
      </c>
      <c r="O88" s="337">
        <f t="shared" si="41"/>
        <v>0</v>
      </c>
      <c r="P88" s="337">
        <f t="shared" si="41"/>
        <v>455867449</v>
      </c>
      <c r="Q88" s="348">
        <f t="shared" si="32"/>
        <v>0.44553461031751618</v>
      </c>
      <c r="R88" s="337">
        <f>+R24+R26+R35+R75+R87</f>
        <v>567324551</v>
      </c>
      <c r="S88" s="397">
        <f t="shared" si="38"/>
        <v>0.55446538968248382</v>
      </c>
      <c r="T88" s="411">
        <f t="shared" ref="T88:T89" si="42">+B88*$T$3</f>
        <v>255798000</v>
      </c>
      <c r="U88" s="337">
        <f t="shared" ref="U88:U93" si="43">+P88</f>
        <v>455867449</v>
      </c>
      <c r="V88" s="412">
        <f t="shared" si="36"/>
        <v>1.7821384412700647</v>
      </c>
      <c r="W88" s="347">
        <f t="shared" si="37"/>
        <v>1</v>
      </c>
      <c r="X88" s="845"/>
      <c r="Y88" s="347"/>
      <c r="Z88" s="347"/>
      <c r="AA88" s="347"/>
      <c r="AB88" s="106"/>
      <c r="AC88" s="106"/>
      <c r="AD88" s="628"/>
      <c r="AE88" s="623"/>
    </row>
    <row r="89" spans="1:31" ht="15">
      <c r="A89" s="96" t="s">
        <v>141</v>
      </c>
      <c r="B89" s="106">
        <f>ROUND(+B88*1%,-3)</f>
        <v>853000</v>
      </c>
      <c r="C89" s="106">
        <f t="shared" ref="C89" si="44">+B89*12</f>
        <v>10236000</v>
      </c>
      <c r="D89" s="106">
        <v>812228</v>
      </c>
      <c r="E89" s="106">
        <v>812228</v>
      </c>
      <c r="F89" s="106">
        <v>812228</v>
      </c>
      <c r="G89" s="106">
        <v>812228</v>
      </c>
      <c r="H89" s="106">
        <v>812228</v>
      </c>
      <c r="I89" s="106">
        <v>1056860</v>
      </c>
      <c r="J89" s="106"/>
      <c r="K89" s="106"/>
      <c r="L89" s="106"/>
      <c r="M89" s="106"/>
      <c r="N89" s="106"/>
      <c r="O89" s="106"/>
      <c r="P89" s="106">
        <f t="shared" ref="P89:P90" si="45">SUM(D89:O89)</f>
        <v>5118000</v>
      </c>
      <c r="Q89" s="344">
        <f t="shared" si="32"/>
        <v>0.5</v>
      </c>
      <c r="R89" s="346">
        <f>+C89-P89</f>
        <v>5118000</v>
      </c>
      <c r="S89" s="395">
        <f t="shared" si="38"/>
        <v>0.5</v>
      </c>
      <c r="T89" s="415">
        <f t="shared" si="42"/>
        <v>2559000</v>
      </c>
      <c r="U89" s="84">
        <f t="shared" si="43"/>
        <v>5118000</v>
      </c>
      <c r="V89" s="403">
        <f t="shared" si="36"/>
        <v>2</v>
      </c>
      <c r="W89" s="347">
        <f t="shared" si="37"/>
        <v>1</v>
      </c>
      <c r="X89" s="90"/>
      <c r="Y89" s="347"/>
      <c r="Z89" s="347"/>
      <c r="AA89" s="347"/>
      <c r="AB89" s="106"/>
      <c r="AC89" s="106"/>
      <c r="AD89" s="628"/>
      <c r="AE89" s="623"/>
    </row>
    <row r="90" spans="1:31" ht="15.75">
      <c r="A90" s="96" t="s">
        <v>527</v>
      </c>
      <c r="B90" s="106"/>
      <c r="C90" s="106"/>
      <c r="D90" s="106"/>
      <c r="E90" s="106"/>
      <c r="F90" s="106"/>
      <c r="G90" s="106"/>
      <c r="H90" s="106"/>
      <c r="I90" s="106"/>
      <c r="J90" s="106"/>
      <c r="K90" s="106"/>
      <c r="L90" s="106"/>
      <c r="M90" s="106"/>
      <c r="N90" s="106"/>
      <c r="O90" s="106"/>
      <c r="P90" s="106">
        <f t="shared" si="45"/>
        <v>0</v>
      </c>
      <c r="Q90" s="344"/>
      <c r="R90" s="346"/>
      <c r="S90" s="395"/>
      <c r="T90" s="415"/>
      <c r="U90" s="84"/>
      <c r="V90" s="403"/>
      <c r="W90" s="347"/>
      <c r="X90" s="90"/>
      <c r="Y90" s="347"/>
      <c r="Z90" s="347"/>
      <c r="AA90" s="347"/>
      <c r="AB90" s="106"/>
      <c r="AC90" s="106"/>
      <c r="AD90" s="629"/>
      <c r="AE90" s="623"/>
    </row>
    <row r="91" spans="1:31" s="343" customFormat="1" ht="22.5" customHeight="1">
      <c r="A91" s="342" t="s">
        <v>142</v>
      </c>
      <c r="B91" s="337">
        <f>SUM(B89:B89)</f>
        <v>853000</v>
      </c>
      <c r="C91" s="337">
        <f t="shared" ref="C91:N91" si="46">SUM(C89:C89)</f>
        <v>10236000</v>
      </c>
      <c r="D91" s="337">
        <f t="shared" si="46"/>
        <v>812228</v>
      </c>
      <c r="E91" s="337">
        <f t="shared" si="46"/>
        <v>812228</v>
      </c>
      <c r="F91" s="337">
        <f t="shared" si="46"/>
        <v>812228</v>
      </c>
      <c r="G91" s="337">
        <f t="shared" si="46"/>
        <v>812228</v>
      </c>
      <c r="H91" s="337">
        <f t="shared" si="46"/>
        <v>812228</v>
      </c>
      <c r="I91" s="337">
        <f t="shared" si="46"/>
        <v>1056860</v>
      </c>
      <c r="J91" s="337">
        <f t="shared" si="46"/>
        <v>0</v>
      </c>
      <c r="K91" s="337">
        <f t="shared" si="46"/>
        <v>0</v>
      </c>
      <c r="L91" s="337">
        <f t="shared" si="46"/>
        <v>0</v>
      </c>
      <c r="M91" s="337">
        <f t="shared" si="46"/>
        <v>0</v>
      </c>
      <c r="N91" s="337">
        <f t="shared" si="46"/>
        <v>0</v>
      </c>
      <c r="O91" s="337">
        <f>+O89+O90</f>
        <v>0</v>
      </c>
      <c r="P91" s="337">
        <f>+P89+P90</f>
        <v>5118000</v>
      </c>
      <c r="Q91" s="348">
        <f>+P91/C91</f>
        <v>0.5</v>
      </c>
      <c r="R91" s="346">
        <f>+C91-P91</f>
        <v>5118000</v>
      </c>
      <c r="S91" s="397">
        <f>+R91/C91</f>
        <v>0.5</v>
      </c>
      <c r="T91" s="411">
        <f>+B91*$T$3</f>
        <v>2559000</v>
      </c>
      <c r="U91" s="337">
        <f t="shared" si="43"/>
        <v>5118000</v>
      </c>
      <c r="V91" s="412">
        <f t="shared" si="36"/>
        <v>2</v>
      </c>
      <c r="W91" s="347">
        <f t="shared" si="37"/>
        <v>1</v>
      </c>
      <c r="X91" s="347"/>
      <c r="Y91" s="347"/>
      <c r="Z91" s="347"/>
      <c r="AA91" s="347"/>
      <c r="AB91" s="106"/>
      <c r="AC91" s="106"/>
      <c r="AD91" s="629"/>
      <c r="AE91" s="623"/>
    </row>
    <row r="92" spans="1:31" s="789" customFormat="1" ht="15">
      <c r="A92" s="780" t="s">
        <v>143</v>
      </c>
      <c r="B92" s="781">
        <f t="shared" ref="B92:P92" si="47">+B24+B26+B35+B75+B87+B91</f>
        <v>86119000</v>
      </c>
      <c r="C92" s="781">
        <f t="shared" si="47"/>
        <v>1033428000</v>
      </c>
      <c r="D92" s="781">
        <f t="shared" si="47"/>
        <v>71118150</v>
      </c>
      <c r="E92" s="781">
        <f t="shared" si="47"/>
        <v>78713043</v>
      </c>
      <c r="F92" s="781">
        <f t="shared" si="47"/>
        <v>75914222</v>
      </c>
      <c r="G92" s="781">
        <f t="shared" si="47"/>
        <v>76931305</v>
      </c>
      <c r="H92" s="781">
        <f t="shared" si="47"/>
        <v>77177475</v>
      </c>
      <c r="I92" s="781">
        <f t="shared" si="47"/>
        <v>81131254</v>
      </c>
      <c r="J92" s="781">
        <f t="shared" si="47"/>
        <v>0</v>
      </c>
      <c r="K92" s="781">
        <f t="shared" si="47"/>
        <v>0</v>
      </c>
      <c r="L92" s="781">
        <f t="shared" si="47"/>
        <v>0</v>
      </c>
      <c r="M92" s="781">
        <f t="shared" si="47"/>
        <v>0</v>
      </c>
      <c r="N92" s="781">
        <f t="shared" si="47"/>
        <v>0</v>
      </c>
      <c r="O92" s="781">
        <f t="shared" si="47"/>
        <v>0</v>
      </c>
      <c r="P92" s="781">
        <f t="shared" si="47"/>
        <v>460985449</v>
      </c>
      <c r="Q92" s="793">
        <f>+P92/C92</f>
        <v>0.44607408450322616</v>
      </c>
      <c r="R92" s="783">
        <f>+C92-P92</f>
        <v>572442551</v>
      </c>
      <c r="S92" s="794">
        <f>+R92/C92</f>
        <v>0.55392591549677384</v>
      </c>
      <c r="T92" s="785">
        <f>+B92*$T$3</f>
        <v>258357000</v>
      </c>
      <c r="U92" s="786">
        <f t="shared" si="43"/>
        <v>460985449</v>
      </c>
      <c r="V92" s="795">
        <f t="shared" si="36"/>
        <v>1.7842963380129047</v>
      </c>
      <c r="W92" s="788">
        <f t="shared" si="37"/>
        <v>1</v>
      </c>
      <c r="X92" s="788"/>
      <c r="Y92" s="788"/>
      <c r="Z92" s="788"/>
      <c r="AA92" s="814"/>
      <c r="AB92" s="106"/>
      <c r="AC92" s="790"/>
      <c r="AD92" s="796"/>
    </row>
    <row r="93" spans="1:31" s="343" customFormat="1" ht="22.5" customHeight="1" thickBot="1">
      <c r="A93" s="342" t="s">
        <v>144</v>
      </c>
      <c r="B93" s="337">
        <f t="shared" ref="B93:P93" si="48">+B17-B92</f>
        <v>0</v>
      </c>
      <c r="C93" s="337">
        <f t="shared" si="48"/>
        <v>0</v>
      </c>
      <c r="D93" s="337">
        <f t="shared" si="48"/>
        <v>15530750</v>
      </c>
      <c r="E93" s="337">
        <f t="shared" si="48"/>
        <v>8248857</v>
      </c>
      <c r="F93" s="337">
        <f t="shared" si="48"/>
        <v>10689828</v>
      </c>
      <c r="G93" s="337">
        <f t="shared" si="48"/>
        <v>9542645</v>
      </c>
      <c r="H93" s="337">
        <f t="shared" si="48"/>
        <v>9229125</v>
      </c>
      <c r="I93" s="337">
        <f t="shared" si="48"/>
        <v>4872246</v>
      </c>
      <c r="J93" s="337">
        <f t="shared" si="48"/>
        <v>0</v>
      </c>
      <c r="K93" s="337">
        <f t="shared" si="48"/>
        <v>0</v>
      </c>
      <c r="L93" s="337">
        <f t="shared" si="48"/>
        <v>0</v>
      </c>
      <c r="M93" s="337">
        <f t="shared" si="48"/>
        <v>0</v>
      </c>
      <c r="N93" s="337">
        <f t="shared" si="48"/>
        <v>0</v>
      </c>
      <c r="O93" s="337">
        <f t="shared" si="48"/>
        <v>0</v>
      </c>
      <c r="P93" s="337">
        <f t="shared" si="48"/>
        <v>58113451</v>
      </c>
      <c r="Q93" s="348"/>
      <c r="R93" s="346"/>
      <c r="S93" s="397"/>
      <c r="T93" s="416"/>
      <c r="U93" s="417">
        <f t="shared" si="43"/>
        <v>58113451</v>
      </c>
      <c r="V93" s="418"/>
      <c r="W93" s="347"/>
      <c r="X93" s="347"/>
      <c r="Y93" s="347"/>
      <c r="Z93" s="347"/>
      <c r="AA93" s="347"/>
      <c r="AB93" s="106"/>
      <c r="AC93" s="106"/>
      <c r="AD93" s="628"/>
    </row>
    <row r="94" spans="1:31" ht="15.75">
      <c r="B94" s="25"/>
      <c r="C94" s="25"/>
      <c r="D94" s="25"/>
      <c r="E94" s="25"/>
      <c r="F94" s="25"/>
      <c r="G94" s="25"/>
      <c r="H94" s="25"/>
      <c r="I94" s="25"/>
      <c r="J94" s="25"/>
      <c r="K94" s="25"/>
      <c r="L94" s="25"/>
      <c r="M94" s="25"/>
      <c r="N94" s="25"/>
      <c r="O94" s="25"/>
      <c r="P94" s="25"/>
      <c r="R94" s="23"/>
      <c r="T94" s="23"/>
      <c r="U94" s="23"/>
      <c r="AB94" s="106"/>
      <c r="AC94" s="106"/>
      <c r="AD94" s="629"/>
    </row>
    <row r="95" spans="1:31" ht="15.75">
      <c r="B95" s="25"/>
      <c r="C95" s="25"/>
      <c r="D95" s="25"/>
      <c r="E95" s="25"/>
      <c r="F95" s="25"/>
      <c r="G95" s="25"/>
      <c r="H95" s="25"/>
      <c r="I95" s="25"/>
      <c r="J95" s="25"/>
      <c r="K95" s="25"/>
      <c r="L95" s="25"/>
      <c r="M95" s="25"/>
      <c r="N95" s="25"/>
      <c r="O95" s="25"/>
      <c r="P95" s="25"/>
      <c r="R95" s="92"/>
      <c r="T95" s="92"/>
      <c r="U95" s="92"/>
      <c r="AB95" s="106"/>
      <c r="AC95" s="106"/>
      <c r="AD95" s="629"/>
    </row>
    <row r="96" spans="1:31" ht="15.75">
      <c r="B96" s="92"/>
      <c r="C96" s="92"/>
      <c r="D96" s="92"/>
      <c r="E96" s="92"/>
      <c r="F96" s="92"/>
      <c r="G96" s="92"/>
      <c r="H96" s="92"/>
      <c r="I96" s="92"/>
      <c r="J96" s="92"/>
      <c r="K96" s="92"/>
      <c r="L96" s="92"/>
      <c r="M96" s="92"/>
      <c r="N96" s="92"/>
      <c r="O96" s="92"/>
      <c r="P96" s="92"/>
      <c r="R96" s="23"/>
      <c r="T96" s="23"/>
      <c r="U96" s="23"/>
      <c r="AB96" s="106"/>
      <c r="AC96" s="106"/>
      <c r="AD96" s="630"/>
    </row>
    <row r="97" spans="2:29">
      <c r="B97" s="25"/>
      <c r="D97" s="25"/>
      <c r="AB97" s="106"/>
      <c r="AC97" s="106"/>
    </row>
    <row r="98" spans="2:29">
      <c r="AB98" s="106"/>
      <c r="AC98" s="106"/>
    </row>
    <row r="99" spans="2:29">
      <c r="AB99" s="106"/>
      <c r="AC99" s="106"/>
    </row>
    <row r="100" spans="2:29">
      <c r="AB100" s="106"/>
      <c r="AC100" s="106"/>
    </row>
    <row r="101" spans="2:29">
      <c r="W101" s="105"/>
      <c r="X101" s="105"/>
      <c r="Y101" s="105"/>
      <c r="Z101" s="105"/>
      <c r="AA101" s="105"/>
      <c r="AB101" s="106"/>
      <c r="AC101" s="106"/>
    </row>
    <row r="102" spans="2:29">
      <c r="W102" s="105"/>
      <c r="X102" s="105"/>
      <c r="Y102" s="105"/>
      <c r="Z102" s="105"/>
      <c r="AA102" s="105"/>
      <c r="AB102" s="106"/>
      <c r="AC102" s="106"/>
    </row>
    <row r="103" spans="2:29">
      <c r="W103" s="105"/>
      <c r="X103" s="105"/>
      <c r="Y103" s="105"/>
      <c r="Z103" s="105"/>
      <c r="AA103" s="105"/>
      <c r="AB103" s="106"/>
      <c r="AC103" s="106"/>
    </row>
    <row r="104" spans="2:29">
      <c r="W104" s="105"/>
      <c r="X104" s="105"/>
      <c r="Y104" s="105"/>
      <c r="Z104" s="105"/>
      <c r="AA104" s="105"/>
      <c r="AB104" s="106"/>
      <c r="AC104" s="106"/>
    </row>
    <row r="105" spans="2:29">
      <c r="W105" s="105"/>
      <c r="X105" s="105"/>
      <c r="Y105" s="105"/>
      <c r="Z105" s="105"/>
      <c r="AA105" s="105"/>
      <c r="AB105" s="106"/>
      <c r="AC105" s="106"/>
    </row>
    <row r="106" spans="2:29">
      <c r="W106" s="105"/>
      <c r="X106" s="105"/>
      <c r="Y106" s="105"/>
      <c r="Z106" s="105"/>
      <c r="AA106" s="105"/>
      <c r="AB106" s="106"/>
      <c r="AC106" s="106"/>
    </row>
    <row r="107" spans="2:29">
      <c r="W107" s="105"/>
      <c r="X107" s="105"/>
      <c r="Y107" s="105"/>
      <c r="Z107" s="105"/>
      <c r="AA107" s="105"/>
      <c r="AB107" s="106"/>
      <c r="AC107" s="106"/>
    </row>
    <row r="108" spans="2:29">
      <c r="AC108" s="106"/>
    </row>
    <row r="109" spans="2:29">
      <c r="AC109" s="106"/>
    </row>
    <row r="112" spans="2:29">
      <c r="R112" s="25"/>
      <c r="T112" s="25"/>
      <c r="U112" s="25"/>
    </row>
    <row r="113" spans="1:30" s="354" customFormat="1">
      <c r="A113" s="26"/>
      <c r="B113" s="26"/>
      <c r="C113" s="26"/>
      <c r="D113" s="26"/>
      <c r="E113" s="26"/>
      <c r="F113" s="26"/>
      <c r="G113" s="26"/>
      <c r="H113" s="26"/>
      <c r="I113" s="26"/>
      <c r="J113" s="26"/>
      <c r="K113" s="26"/>
      <c r="L113" s="26"/>
      <c r="M113" s="26"/>
      <c r="N113" s="26"/>
      <c r="O113" s="26"/>
      <c r="P113" s="26"/>
      <c r="Q113" s="351"/>
      <c r="R113" s="25"/>
      <c r="T113" s="25"/>
      <c r="U113" s="25"/>
      <c r="W113"/>
      <c r="X113"/>
      <c r="Y113"/>
      <c r="Z113"/>
      <c r="AA113"/>
      <c r="AB113" s="631"/>
      <c r="AC113" s="631"/>
      <c r="AD113" s="631"/>
    </row>
  </sheetData>
  <mergeCells count="1">
    <mergeCell ref="A4:A5"/>
  </mergeCells>
  <printOptions horizontalCentered="1"/>
  <pageMargins left="0.25" right="0.25" top="0.75" bottom="0.75" header="0.3" footer="0.3"/>
  <pageSetup scale="9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9"/>
  <sheetViews>
    <sheetView zoomScaleNormal="100" workbookViewId="0">
      <pane xSplit="2" ySplit="6" topLeftCell="C40" activePane="bottomRight" state="frozen"/>
      <selection pane="topRight" activeCell="D1" sqref="D1"/>
      <selection pane="bottomLeft" activeCell="A7" sqref="A7"/>
      <selection pane="bottomRight" activeCell="I60" sqref="I60"/>
    </sheetView>
  </sheetViews>
  <sheetFormatPr baseColWidth="10" defaultRowHeight="12.75"/>
  <cols>
    <col min="1" max="1" width="37" style="500" customWidth="1"/>
    <col min="2" max="3" width="17.140625" style="500" customWidth="1"/>
    <col min="4" max="4" width="17.85546875" style="500" customWidth="1"/>
    <col min="5" max="5" width="7.42578125" style="500" customWidth="1"/>
    <col min="6" max="7" width="0" style="500" hidden="1" customWidth="1"/>
    <col min="8" max="8" width="48.85546875" style="500" customWidth="1"/>
    <col min="9" max="9" width="31.28515625" style="500" customWidth="1"/>
    <col min="10" max="10" width="12.28515625" style="500" hidden="1" customWidth="1"/>
    <col min="11" max="11" width="13.140625" style="500" hidden="1" customWidth="1"/>
    <col min="12" max="13" width="11.42578125" style="500" hidden="1" customWidth="1"/>
    <col min="14" max="14" width="49" style="500" hidden="1" customWidth="1"/>
    <col min="15" max="15" width="49" style="500" customWidth="1"/>
    <col min="16" max="16" width="12.42578125" style="500" bestFit="1" customWidth="1"/>
    <col min="17" max="27" width="49" style="500" customWidth="1"/>
    <col min="28" max="255" width="11.42578125" style="500"/>
    <col min="256" max="256" width="37" style="500" customWidth="1"/>
    <col min="257" max="257" width="7.28515625" style="500" bestFit="1" customWidth="1"/>
    <col min="258" max="259" width="17.140625" style="500" customWidth="1"/>
    <col min="260" max="260" width="17.85546875" style="500" customWidth="1"/>
    <col min="261" max="261" width="7.42578125" style="500" customWidth="1"/>
    <col min="262" max="263" width="0" style="500" hidden="1" customWidth="1"/>
    <col min="264" max="264" width="49" style="500" customWidth="1"/>
    <col min="265" max="265" width="31.28515625" style="500" customWidth="1"/>
    <col min="266" max="266" width="12.28515625" style="500" bestFit="1" customWidth="1"/>
    <col min="267" max="511" width="11.42578125" style="500"/>
    <col min="512" max="512" width="37" style="500" customWidth="1"/>
    <col min="513" max="513" width="7.28515625" style="500" bestFit="1" customWidth="1"/>
    <col min="514" max="515" width="17.140625" style="500" customWidth="1"/>
    <col min="516" max="516" width="17.85546875" style="500" customWidth="1"/>
    <col min="517" max="517" width="7.42578125" style="500" customWidth="1"/>
    <col min="518" max="519" width="0" style="500" hidden="1" customWidth="1"/>
    <col min="520" max="520" width="49" style="500" customWidth="1"/>
    <col min="521" max="521" width="31.28515625" style="500" customWidth="1"/>
    <col min="522" max="522" width="12.28515625" style="500" bestFit="1" customWidth="1"/>
    <col min="523" max="767" width="11.42578125" style="500"/>
    <col min="768" max="768" width="37" style="500" customWidth="1"/>
    <col min="769" max="769" width="7.28515625" style="500" bestFit="1" customWidth="1"/>
    <col min="770" max="771" width="17.140625" style="500" customWidth="1"/>
    <col min="772" max="772" width="17.85546875" style="500" customWidth="1"/>
    <col min="773" max="773" width="7.42578125" style="500" customWidth="1"/>
    <col min="774" max="775" width="0" style="500" hidden="1" customWidth="1"/>
    <col min="776" max="776" width="49" style="500" customWidth="1"/>
    <col min="777" max="777" width="31.28515625" style="500" customWidth="1"/>
    <col min="778" max="778" width="12.28515625" style="500" bestFit="1" customWidth="1"/>
    <col min="779" max="1023" width="11.42578125" style="500"/>
    <col min="1024" max="1024" width="37" style="500" customWidth="1"/>
    <col min="1025" max="1025" width="7.28515625" style="500" bestFit="1" customWidth="1"/>
    <col min="1026" max="1027" width="17.140625" style="500" customWidth="1"/>
    <col min="1028" max="1028" width="17.85546875" style="500" customWidth="1"/>
    <col min="1029" max="1029" width="7.42578125" style="500" customWidth="1"/>
    <col min="1030" max="1031" width="0" style="500" hidden="1" customWidth="1"/>
    <col min="1032" max="1032" width="49" style="500" customWidth="1"/>
    <col min="1033" max="1033" width="31.28515625" style="500" customWidth="1"/>
    <col min="1034" max="1034" width="12.28515625" style="500" bestFit="1" customWidth="1"/>
    <col min="1035" max="1279" width="11.42578125" style="500"/>
    <col min="1280" max="1280" width="37" style="500" customWidth="1"/>
    <col min="1281" max="1281" width="7.28515625" style="500" bestFit="1" customWidth="1"/>
    <col min="1282" max="1283" width="17.140625" style="500" customWidth="1"/>
    <col min="1284" max="1284" width="17.85546875" style="500" customWidth="1"/>
    <col min="1285" max="1285" width="7.42578125" style="500" customWidth="1"/>
    <col min="1286" max="1287" width="0" style="500" hidden="1" customWidth="1"/>
    <col min="1288" max="1288" width="49" style="500" customWidth="1"/>
    <col min="1289" max="1289" width="31.28515625" style="500" customWidth="1"/>
    <col min="1290" max="1290" width="12.28515625" style="500" bestFit="1" customWidth="1"/>
    <col min="1291" max="1535" width="11.42578125" style="500"/>
    <col min="1536" max="1536" width="37" style="500" customWidth="1"/>
    <col min="1537" max="1537" width="7.28515625" style="500" bestFit="1" customWidth="1"/>
    <col min="1538" max="1539" width="17.140625" style="500" customWidth="1"/>
    <col min="1540" max="1540" width="17.85546875" style="500" customWidth="1"/>
    <col min="1541" max="1541" width="7.42578125" style="500" customWidth="1"/>
    <col min="1542" max="1543" width="0" style="500" hidden="1" customWidth="1"/>
    <col min="1544" max="1544" width="49" style="500" customWidth="1"/>
    <col min="1545" max="1545" width="31.28515625" style="500" customWidth="1"/>
    <col min="1546" max="1546" width="12.28515625" style="500" bestFit="1" customWidth="1"/>
    <col min="1547" max="1791" width="11.42578125" style="500"/>
    <col min="1792" max="1792" width="37" style="500" customWidth="1"/>
    <col min="1793" max="1793" width="7.28515625" style="500" bestFit="1" customWidth="1"/>
    <col min="1794" max="1795" width="17.140625" style="500" customWidth="1"/>
    <col min="1796" max="1796" width="17.85546875" style="500" customWidth="1"/>
    <col min="1797" max="1797" width="7.42578125" style="500" customWidth="1"/>
    <col min="1798" max="1799" width="0" style="500" hidden="1" customWidth="1"/>
    <col min="1800" max="1800" width="49" style="500" customWidth="1"/>
    <col min="1801" max="1801" width="31.28515625" style="500" customWidth="1"/>
    <col min="1802" max="1802" width="12.28515625" style="500" bestFit="1" customWidth="1"/>
    <col min="1803" max="2047" width="11.42578125" style="500"/>
    <col min="2048" max="2048" width="37" style="500" customWidth="1"/>
    <col min="2049" max="2049" width="7.28515625" style="500" bestFit="1" customWidth="1"/>
    <col min="2050" max="2051" width="17.140625" style="500" customWidth="1"/>
    <col min="2052" max="2052" width="17.85546875" style="500" customWidth="1"/>
    <col min="2053" max="2053" width="7.42578125" style="500" customWidth="1"/>
    <col min="2054" max="2055" width="0" style="500" hidden="1" customWidth="1"/>
    <col min="2056" max="2056" width="49" style="500" customWidth="1"/>
    <col min="2057" max="2057" width="31.28515625" style="500" customWidth="1"/>
    <col min="2058" max="2058" width="12.28515625" style="500" bestFit="1" customWidth="1"/>
    <col min="2059" max="2303" width="11.42578125" style="500"/>
    <col min="2304" max="2304" width="37" style="500" customWidth="1"/>
    <col min="2305" max="2305" width="7.28515625" style="500" bestFit="1" customWidth="1"/>
    <col min="2306" max="2307" width="17.140625" style="500" customWidth="1"/>
    <col min="2308" max="2308" width="17.85546875" style="500" customWidth="1"/>
    <col min="2309" max="2309" width="7.42578125" style="500" customWidth="1"/>
    <col min="2310" max="2311" width="0" style="500" hidden="1" customWidth="1"/>
    <col min="2312" max="2312" width="49" style="500" customWidth="1"/>
    <col min="2313" max="2313" width="31.28515625" style="500" customWidth="1"/>
    <col min="2314" max="2314" width="12.28515625" style="500" bestFit="1" customWidth="1"/>
    <col min="2315" max="2559" width="11.42578125" style="500"/>
    <col min="2560" max="2560" width="37" style="500" customWidth="1"/>
    <col min="2561" max="2561" width="7.28515625" style="500" bestFit="1" customWidth="1"/>
    <col min="2562" max="2563" width="17.140625" style="500" customWidth="1"/>
    <col min="2564" max="2564" width="17.85546875" style="500" customWidth="1"/>
    <col min="2565" max="2565" width="7.42578125" style="500" customWidth="1"/>
    <col min="2566" max="2567" width="0" style="500" hidden="1" customWidth="1"/>
    <col min="2568" max="2568" width="49" style="500" customWidth="1"/>
    <col min="2569" max="2569" width="31.28515625" style="500" customWidth="1"/>
    <col min="2570" max="2570" width="12.28515625" style="500" bestFit="1" customWidth="1"/>
    <col min="2571" max="2815" width="11.42578125" style="500"/>
    <col min="2816" max="2816" width="37" style="500" customWidth="1"/>
    <col min="2817" max="2817" width="7.28515625" style="500" bestFit="1" customWidth="1"/>
    <col min="2818" max="2819" width="17.140625" style="500" customWidth="1"/>
    <col min="2820" max="2820" width="17.85546875" style="500" customWidth="1"/>
    <col min="2821" max="2821" width="7.42578125" style="500" customWidth="1"/>
    <col min="2822" max="2823" width="0" style="500" hidden="1" customWidth="1"/>
    <col min="2824" max="2824" width="49" style="500" customWidth="1"/>
    <col min="2825" max="2825" width="31.28515625" style="500" customWidth="1"/>
    <col min="2826" max="2826" width="12.28515625" style="500" bestFit="1" customWidth="1"/>
    <col min="2827" max="3071" width="11.42578125" style="500"/>
    <col min="3072" max="3072" width="37" style="500" customWidth="1"/>
    <col min="3073" max="3073" width="7.28515625" style="500" bestFit="1" customWidth="1"/>
    <col min="3074" max="3075" width="17.140625" style="500" customWidth="1"/>
    <col min="3076" max="3076" width="17.85546875" style="500" customWidth="1"/>
    <col min="3077" max="3077" width="7.42578125" style="500" customWidth="1"/>
    <col min="3078" max="3079" width="0" style="500" hidden="1" customWidth="1"/>
    <col min="3080" max="3080" width="49" style="500" customWidth="1"/>
    <col min="3081" max="3081" width="31.28515625" style="500" customWidth="1"/>
    <col min="3082" max="3082" width="12.28515625" style="500" bestFit="1" customWidth="1"/>
    <col min="3083" max="3327" width="11.42578125" style="500"/>
    <col min="3328" max="3328" width="37" style="500" customWidth="1"/>
    <col min="3329" max="3329" width="7.28515625" style="500" bestFit="1" customWidth="1"/>
    <col min="3330" max="3331" width="17.140625" style="500" customWidth="1"/>
    <col min="3332" max="3332" width="17.85546875" style="500" customWidth="1"/>
    <col min="3333" max="3333" width="7.42578125" style="500" customWidth="1"/>
    <col min="3334" max="3335" width="0" style="500" hidden="1" customWidth="1"/>
    <col min="3336" max="3336" width="49" style="500" customWidth="1"/>
    <col min="3337" max="3337" width="31.28515625" style="500" customWidth="1"/>
    <col min="3338" max="3338" width="12.28515625" style="500" bestFit="1" customWidth="1"/>
    <col min="3339" max="3583" width="11.42578125" style="500"/>
    <col min="3584" max="3584" width="37" style="500" customWidth="1"/>
    <col min="3585" max="3585" width="7.28515625" style="500" bestFit="1" customWidth="1"/>
    <col min="3586" max="3587" width="17.140625" style="500" customWidth="1"/>
    <col min="3588" max="3588" width="17.85546875" style="500" customWidth="1"/>
    <col min="3589" max="3589" width="7.42578125" style="500" customWidth="1"/>
    <col min="3590" max="3591" width="0" style="500" hidden="1" customWidth="1"/>
    <col min="3592" max="3592" width="49" style="500" customWidth="1"/>
    <col min="3593" max="3593" width="31.28515625" style="500" customWidth="1"/>
    <col min="3594" max="3594" width="12.28515625" style="500" bestFit="1" customWidth="1"/>
    <col min="3595" max="3839" width="11.42578125" style="500"/>
    <col min="3840" max="3840" width="37" style="500" customWidth="1"/>
    <col min="3841" max="3841" width="7.28515625" style="500" bestFit="1" customWidth="1"/>
    <col min="3842" max="3843" width="17.140625" style="500" customWidth="1"/>
    <col min="3844" max="3844" width="17.85546875" style="500" customWidth="1"/>
    <col min="3845" max="3845" width="7.42578125" style="500" customWidth="1"/>
    <col min="3846" max="3847" width="0" style="500" hidden="1" customWidth="1"/>
    <col min="3848" max="3848" width="49" style="500" customWidth="1"/>
    <col min="3849" max="3849" width="31.28515625" style="500" customWidth="1"/>
    <col min="3850" max="3850" width="12.28515625" style="500" bestFit="1" customWidth="1"/>
    <col min="3851" max="4095" width="11.42578125" style="500"/>
    <col min="4096" max="4096" width="37" style="500" customWidth="1"/>
    <col min="4097" max="4097" width="7.28515625" style="500" bestFit="1" customWidth="1"/>
    <col min="4098" max="4099" width="17.140625" style="500" customWidth="1"/>
    <col min="4100" max="4100" width="17.85546875" style="500" customWidth="1"/>
    <col min="4101" max="4101" width="7.42578125" style="500" customWidth="1"/>
    <col min="4102" max="4103" width="0" style="500" hidden="1" customWidth="1"/>
    <col min="4104" max="4104" width="49" style="500" customWidth="1"/>
    <col min="4105" max="4105" width="31.28515625" style="500" customWidth="1"/>
    <col min="4106" max="4106" width="12.28515625" style="500" bestFit="1" customWidth="1"/>
    <col min="4107" max="4351" width="11.42578125" style="500"/>
    <col min="4352" max="4352" width="37" style="500" customWidth="1"/>
    <col min="4353" max="4353" width="7.28515625" style="500" bestFit="1" customWidth="1"/>
    <col min="4354" max="4355" width="17.140625" style="500" customWidth="1"/>
    <col min="4356" max="4356" width="17.85546875" style="500" customWidth="1"/>
    <col min="4357" max="4357" width="7.42578125" style="500" customWidth="1"/>
    <col min="4358" max="4359" width="0" style="500" hidden="1" customWidth="1"/>
    <col min="4360" max="4360" width="49" style="500" customWidth="1"/>
    <col min="4361" max="4361" width="31.28515625" style="500" customWidth="1"/>
    <col min="4362" max="4362" width="12.28515625" style="500" bestFit="1" customWidth="1"/>
    <col min="4363" max="4607" width="11.42578125" style="500"/>
    <col min="4608" max="4608" width="37" style="500" customWidth="1"/>
    <col min="4609" max="4609" width="7.28515625" style="500" bestFit="1" customWidth="1"/>
    <col min="4610" max="4611" width="17.140625" style="500" customWidth="1"/>
    <col min="4612" max="4612" width="17.85546875" style="500" customWidth="1"/>
    <col min="4613" max="4613" width="7.42578125" style="500" customWidth="1"/>
    <col min="4614" max="4615" width="0" style="500" hidden="1" customWidth="1"/>
    <col min="4616" max="4616" width="49" style="500" customWidth="1"/>
    <col min="4617" max="4617" width="31.28515625" style="500" customWidth="1"/>
    <col min="4618" max="4618" width="12.28515625" style="500" bestFit="1" customWidth="1"/>
    <col min="4619" max="4863" width="11.42578125" style="500"/>
    <col min="4864" max="4864" width="37" style="500" customWidth="1"/>
    <col min="4865" max="4865" width="7.28515625" style="500" bestFit="1" customWidth="1"/>
    <col min="4866" max="4867" width="17.140625" style="500" customWidth="1"/>
    <col min="4868" max="4868" width="17.85546875" style="500" customWidth="1"/>
    <col min="4869" max="4869" width="7.42578125" style="500" customWidth="1"/>
    <col min="4870" max="4871" width="0" style="500" hidden="1" customWidth="1"/>
    <col min="4872" max="4872" width="49" style="500" customWidth="1"/>
    <col min="4873" max="4873" width="31.28515625" style="500" customWidth="1"/>
    <col min="4874" max="4874" width="12.28515625" style="500" bestFit="1" customWidth="1"/>
    <col min="4875" max="5119" width="11.42578125" style="500"/>
    <col min="5120" max="5120" width="37" style="500" customWidth="1"/>
    <col min="5121" max="5121" width="7.28515625" style="500" bestFit="1" customWidth="1"/>
    <col min="5122" max="5123" width="17.140625" style="500" customWidth="1"/>
    <col min="5124" max="5124" width="17.85546875" style="500" customWidth="1"/>
    <col min="5125" max="5125" width="7.42578125" style="500" customWidth="1"/>
    <col min="5126" max="5127" width="0" style="500" hidden="1" customWidth="1"/>
    <col min="5128" max="5128" width="49" style="500" customWidth="1"/>
    <col min="5129" max="5129" width="31.28515625" style="500" customWidth="1"/>
    <col min="5130" max="5130" width="12.28515625" style="500" bestFit="1" customWidth="1"/>
    <col min="5131" max="5375" width="11.42578125" style="500"/>
    <col min="5376" max="5376" width="37" style="500" customWidth="1"/>
    <col min="5377" max="5377" width="7.28515625" style="500" bestFit="1" customWidth="1"/>
    <col min="5378" max="5379" width="17.140625" style="500" customWidth="1"/>
    <col min="5380" max="5380" width="17.85546875" style="500" customWidth="1"/>
    <col min="5381" max="5381" width="7.42578125" style="500" customWidth="1"/>
    <col min="5382" max="5383" width="0" style="500" hidden="1" customWidth="1"/>
    <col min="5384" max="5384" width="49" style="500" customWidth="1"/>
    <col min="5385" max="5385" width="31.28515625" style="500" customWidth="1"/>
    <col min="5386" max="5386" width="12.28515625" style="500" bestFit="1" customWidth="1"/>
    <col min="5387" max="5631" width="11.42578125" style="500"/>
    <col min="5632" max="5632" width="37" style="500" customWidth="1"/>
    <col min="5633" max="5633" width="7.28515625" style="500" bestFit="1" customWidth="1"/>
    <col min="5634" max="5635" width="17.140625" style="500" customWidth="1"/>
    <col min="5636" max="5636" width="17.85546875" style="500" customWidth="1"/>
    <col min="5637" max="5637" width="7.42578125" style="500" customWidth="1"/>
    <col min="5638" max="5639" width="0" style="500" hidden="1" customWidth="1"/>
    <col min="5640" max="5640" width="49" style="500" customWidth="1"/>
    <col min="5641" max="5641" width="31.28515625" style="500" customWidth="1"/>
    <col min="5642" max="5642" width="12.28515625" style="500" bestFit="1" customWidth="1"/>
    <col min="5643" max="5887" width="11.42578125" style="500"/>
    <col min="5888" max="5888" width="37" style="500" customWidth="1"/>
    <col min="5889" max="5889" width="7.28515625" style="500" bestFit="1" customWidth="1"/>
    <col min="5890" max="5891" width="17.140625" style="500" customWidth="1"/>
    <col min="5892" max="5892" width="17.85546875" style="500" customWidth="1"/>
    <col min="5893" max="5893" width="7.42578125" style="500" customWidth="1"/>
    <col min="5894" max="5895" width="0" style="500" hidden="1" customWidth="1"/>
    <col min="5896" max="5896" width="49" style="500" customWidth="1"/>
    <col min="5897" max="5897" width="31.28515625" style="500" customWidth="1"/>
    <col min="5898" max="5898" width="12.28515625" style="500" bestFit="1" customWidth="1"/>
    <col min="5899" max="6143" width="11.42578125" style="500"/>
    <col min="6144" max="6144" width="37" style="500" customWidth="1"/>
    <col min="6145" max="6145" width="7.28515625" style="500" bestFit="1" customWidth="1"/>
    <col min="6146" max="6147" width="17.140625" style="500" customWidth="1"/>
    <col min="6148" max="6148" width="17.85546875" style="500" customWidth="1"/>
    <col min="6149" max="6149" width="7.42578125" style="500" customWidth="1"/>
    <col min="6150" max="6151" width="0" style="500" hidden="1" customWidth="1"/>
    <col min="6152" max="6152" width="49" style="500" customWidth="1"/>
    <col min="6153" max="6153" width="31.28515625" style="500" customWidth="1"/>
    <col min="6154" max="6154" width="12.28515625" style="500" bestFit="1" customWidth="1"/>
    <col min="6155" max="6399" width="11.42578125" style="500"/>
    <col min="6400" max="6400" width="37" style="500" customWidth="1"/>
    <col min="6401" max="6401" width="7.28515625" style="500" bestFit="1" customWidth="1"/>
    <col min="6402" max="6403" width="17.140625" style="500" customWidth="1"/>
    <col min="6404" max="6404" width="17.85546875" style="500" customWidth="1"/>
    <col min="6405" max="6405" width="7.42578125" style="500" customWidth="1"/>
    <col min="6406" max="6407" width="0" style="500" hidden="1" customWidth="1"/>
    <col min="6408" max="6408" width="49" style="500" customWidth="1"/>
    <col min="6409" max="6409" width="31.28515625" style="500" customWidth="1"/>
    <col min="6410" max="6410" width="12.28515625" style="500" bestFit="1" customWidth="1"/>
    <col min="6411" max="6655" width="11.42578125" style="500"/>
    <col min="6656" max="6656" width="37" style="500" customWidth="1"/>
    <col min="6657" max="6657" width="7.28515625" style="500" bestFit="1" customWidth="1"/>
    <col min="6658" max="6659" width="17.140625" style="500" customWidth="1"/>
    <col min="6660" max="6660" width="17.85546875" style="500" customWidth="1"/>
    <col min="6661" max="6661" width="7.42578125" style="500" customWidth="1"/>
    <col min="6662" max="6663" width="0" style="500" hidden="1" customWidth="1"/>
    <col min="6664" max="6664" width="49" style="500" customWidth="1"/>
    <col min="6665" max="6665" width="31.28515625" style="500" customWidth="1"/>
    <col min="6666" max="6666" width="12.28515625" style="500" bestFit="1" customWidth="1"/>
    <col min="6667" max="6911" width="11.42578125" style="500"/>
    <col min="6912" max="6912" width="37" style="500" customWidth="1"/>
    <col min="6913" max="6913" width="7.28515625" style="500" bestFit="1" customWidth="1"/>
    <col min="6914" max="6915" width="17.140625" style="500" customWidth="1"/>
    <col min="6916" max="6916" width="17.85546875" style="500" customWidth="1"/>
    <col min="6917" max="6917" width="7.42578125" style="500" customWidth="1"/>
    <col min="6918" max="6919" width="0" style="500" hidden="1" customWidth="1"/>
    <col min="6920" max="6920" width="49" style="500" customWidth="1"/>
    <col min="6921" max="6921" width="31.28515625" style="500" customWidth="1"/>
    <col min="6922" max="6922" width="12.28515625" style="500" bestFit="1" customWidth="1"/>
    <col min="6923" max="7167" width="11.42578125" style="500"/>
    <col min="7168" max="7168" width="37" style="500" customWidth="1"/>
    <col min="7169" max="7169" width="7.28515625" style="500" bestFit="1" customWidth="1"/>
    <col min="7170" max="7171" width="17.140625" style="500" customWidth="1"/>
    <col min="7172" max="7172" width="17.85546875" style="500" customWidth="1"/>
    <col min="7173" max="7173" width="7.42578125" style="500" customWidth="1"/>
    <col min="7174" max="7175" width="0" style="500" hidden="1" customWidth="1"/>
    <col min="7176" max="7176" width="49" style="500" customWidth="1"/>
    <col min="7177" max="7177" width="31.28515625" style="500" customWidth="1"/>
    <col min="7178" max="7178" width="12.28515625" style="500" bestFit="1" customWidth="1"/>
    <col min="7179" max="7423" width="11.42578125" style="500"/>
    <col min="7424" max="7424" width="37" style="500" customWidth="1"/>
    <col min="7425" max="7425" width="7.28515625" style="500" bestFit="1" customWidth="1"/>
    <col min="7426" max="7427" width="17.140625" style="500" customWidth="1"/>
    <col min="7428" max="7428" width="17.85546875" style="500" customWidth="1"/>
    <col min="7429" max="7429" width="7.42578125" style="500" customWidth="1"/>
    <col min="7430" max="7431" width="0" style="500" hidden="1" customWidth="1"/>
    <col min="7432" max="7432" width="49" style="500" customWidth="1"/>
    <col min="7433" max="7433" width="31.28515625" style="500" customWidth="1"/>
    <col min="7434" max="7434" width="12.28515625" style="500" bestFit="1" customWidth="1"/>
    <col min="7435" max="7679" width="11.42578125" style="500"/>
    <col min="7680" max="7680" width="37" style="500" customWidth="1"/>
    <col min="7681" max="7681" width="7.28515625" style="500" bestFit="1" customWidth="1"/>
    <col min="7682" max="7683" width="17.140625" style="500" customWidth="1"/>
    <col min="7684" max="7684" width="17.85546875" style="500" customWidth="1"/>
    <col min="7685" max="7685" width="7.42578125" style="500" customWidth="1"/>
    <col min="7686" max="7687" width="0" style="500" hidden="1" customWidth="1"/>
    <col min="7688" max="7688" width="49" style="500" customWidth="1"/>
    <col min="7689" max="7689" width="31.28515625" style="500" customWidth="1"/>
    <col min="7690" max="7690" width="12.28515625" style="500" bestFit="1" customWidth="1"/>
    <col min="7691" max="7935" width="11.42578125" style="500"/>
    <col min="7936" max="7936" width="37" style="500" customWidth="1"/>
    <col min="7937" max="7937" width="7.28515625" style="500" bestFit="1" customWidth="1"/>
    <col min="7938" max="7939" width="17.140625" style="500" customWidth="1"/>
    <col min="7940" max="7940" width="17.85546875" style="500" customWidth="1"/>
    <col min="7941" max="7941" width="7.42578125" style="500" customWidth="1"/>
    <col min="7942" max="7943" width="0" style="500" hidden="1" customWidth="1"/>
    <col min="7944" max="7944" width="49" style="500" customWidth="1"/>
    <col min="7945" max="7945" width="31.28515625" style="500" customWidth="1"/>
    <col min="7946" max="7946" width="12.28515625" style="500" bestFit="1" customWidth="1"/>
    <col min="7947" max="8191" width="11.42578125" style="500"/>
    <col min="8192" max="8192" width="37" style="500" customWidth="1"/>
    <col min="8193" max="8193" width="7.28515625" style="500" bestFit="1" customWidth="1"/>
    <col min="8194" max="8195" width="17.140625" style="500" customWidth="1"/>
    <col min="8196" max="8196" width="17.85546875" style="500" customWidth="1"/>
    <col min="8197" max="8197" width="7.42578125" style="500" customWidth="1"/>
    <col min="8198" max="8199" width="0" style="500" hidden="1" customWidth="1"/>
    <col min="8200" max="8200" width="49" style="500" customWidth="1"/>
    <col min="8201" max="8201" width="31.28515625" style="500" customWidth="1"/>
    <col min="8202" max="8202" width="12.28515625" style="500" bestFit="1" customWidth="1"/>
    <col min="8203" max="8447" width="11.42578125" style="500"/>
    <col min="8448" max="8448" width="37" style="500" customWidth="1"/>
    <col min="8449" max="8449" width="7.28515625" style="500" bestFit="1" customWidth="1"/>
    <col min="8450" max="8451" width="17.140625" style="500" customWidth="1"/>
    <col min="8452" max="8452" width="17.85546875" style="500" customWidth="1"/>
    <col min="8453" max="8453" width="7.42578125" style="500" customWidth="1"/>
    <col min="8454" max="8455" width="0" style="500" hidden="1" customWidth="1"/>
    <col min="8456" max="8456" width="49" style="500" customWidth="1"/>
    <col min="8457" max="8457" width="31.28515625" style="500" customWidth="1"/>
    <col min="8458" max="8458" width="12.28515625" style="500" bestFit="1" customWidth="1"/>
    <col min="8459" max="8703" width="11.42578125" style="500"/>
    <col min="8704" max="8704" width="37" style="500" customWidth="1"/>
    <col min="8705" max="8705" width="7.28515625" style="500" bestFit="1" customWidth="1"/>
    <col min="8706" max="8707" width="17.140625" style="500" customWidth="1"/>
    <col min="8708" max="8708" width="17.85546875" style="500" customWidth="1"/>
    <col min="8709" max="8709" width="7.42578125" style="500" customWidth="1"/>
    <col min="8710" max="8711" width="0" style="500" hidden="1" customWidth="1"/>
    <col min="8712" max="8712" width="49" style="500" customWidth="1"/>
    <col min="8713" max="8713" width="31.28515625" style="500" customWidth="1"/>
    <col min="8714" max="8714" width="12.28515625" style="500" bestFit="1" customWidth="1"/>
    <col min="8715" max="8959" width="11.42578125" style="500"/>
    <col min="8960" max="8960" width="37" style="500" customWidth="1"/>
    <col min="8961" max="8961" width="7.28515625" style="500" bestFit="1" customWidth="1"/>
    <col min="8962" max="8963" width="17.140625" style="500" customWidth="1"/>
    <col min="8964" max="8964" width="17.85546875" style="500" customWidth="1"/>
    <col min="8965" max="8965" width="7.42578125" style="500" customWidth="1"/>
    <col min="8966" max="8967" width="0" style="500" hidden="1" customWidth="1"/>
    <col min="8968" max="8968" width="49" style="500" customWidth="1"/>
    <col min="8969" max="8969" width="31.28515625" style="500" customWidth="1"/>
    <col min="8970" max="8970" width="12.28515625" style="500" bestFit="1" customWidth="1"/>
    <col min="8971" max="9215" width="11.42578125" style="500"/>
    <col min="9216" max="9216" width="37" style="500" customWidth="1"/>
    <col min="9217" max="9217" width="7.28515625" style="500" bestFit="1" customWidth="1"/>
    <col min="9218" max="9219" width="17.140625" style="500" customWidth="1"/>
    <col min="9220" max="9220" width="17.85546875" style="500" customWidth="1"/>
    <col min="9221" max="9221" width="7.42578125" style="500" customWidth="1"/>
    <col min="9222" max="9223" width="0" style="500" hidden="1" customWidth="1"/>
    <col min="9224" max="9224" width="49" style="500" customWidth="1"/>
    <col min="9225" max="9225" width="31.28515625" style="500" customWidth="1"/>
    <col min="9226" max="9226" width="12.28515625" style="500" bestFit="1" customWidth="1"/>
    <col min="9227" max="9471" width="11.42578125" style="500"/>
    <col min="9472" max="9472" width="37" style="500" customWidth="1"/>
    <col min="9473" max="9473" width="7.28515625" style="500" bestFit="1" customWidth="1"/>
    <col min="9474" max="9475" width="17.140625" style="500" customWidth="1"/>
    <col min="9476" max="9476" width="17.85546875" style="500" customWidth="1"/>
    <col min="9477" max="9477" width="7.42578125" style="500" customWidth="1"/>
    <col min="9478" max="9479" width="0" style="500" hidden="1" customWidth="1"/>
    <col min="9480" max="9480" width="49" style="500" customWidth="1"/>
    <col min="9481" max="9481" width="31.28515625" style="500" customWidth="1"/>
    <col min="9482" max="9482" width="12.28515625" style="500" bestFit="1" customWidth="1"/>
    <col min="9483" max="9727" width="11.42578125" style="500"/>
    <col min="9728" max="9728" width="37" style="500" customWidth="1"/>
    <col min="9729" max="9729" width="7.28515625" style="500" bestFit="1" customWidth="1"/>
    <col min="9730" max="9731" width="17.140625" style="500" customWidth="1"/>
    <col min="9732" max="9732" width="17.85546875" style="500" customWidth="1"/>
    <col min="9733" max="9733" width="7.42578125" style="500" customWidth="1"/>
    <col min="9734" max="9735" width="0" style="500" hidden="1" customWidth="1"/>
    <col min="9736" max="9736" width="49" style="500" customWidth="1"/>
    <col min="9737" max="9737" width="31.28515625" style="500" customWidth="1"/>
    <col min="9738" max="9738" width="12.28515625" style="500" bestFit="1" customWidth="1"/>
    <col min="9739" max="9983" width="11.42578125" style="500"/>
    <col min="9984" max="9984" width="37" style="500" customWidth="1"/>
    <col min="9985" max="9985" width="7.28515625" style="500" bestFit="1" customWidth="1"/>
    <col min="9986" max="9987" width="17.140625" style="500" customWidth="1"/>
    <col min="9988" max="9988" width="17.85546875" style="500" customWidth="1"/>
    <col min="9989" max="9989" width="7.42578125" style="500" customWidth="1"/>
    <col min="9990" max="9991" width="0" style="500" hidden="1" customWidth="1"/>
    <col min="9992" max="9992" width="49" style="500" customWidth="1"/>
    <col min="9993" max="9993" width="31.28515625" style="500" customWidth="1"/>
    <col min="9994" max="9994" width="12.28515625" style="500" bestFit="1" customWidth="1"/>
    <col min="9995" max="10239" width="11.42578125" style="500"/>
    <col min="10240" max="10240" width="37" style="500" customWidth="1"/>
    <col min="10241" max="10241" width="7.28515625" style="500" bestFit="1" customWidth="1"/>
    <col min="10242" max="10243" width="17.140625" style="500" customWidth="1"/>
    <col min="10244" max="10244" width="17.85546875" style="500" customWidth="1"/>
    <col min="10245" max="10245" width="7.42578125" style="500" customWidth="1"/>
    <col min="10246" max="10247" width="0" style="500" hidden="1" customWidth="1"/>
    <col min="10248" max="10248" width="49" style="500" customWidth="1"/>
    <col min="10249" max="10249" width="31.28515625" style="500" customWidth="1"/>
    <col min="10250" max="10250" width="12.28515625" style="500" bestFit="1" customWidth="1"/>
    <col min="10251" max="10495" width="11.42578125" style="500"/>
    <col min="10496" max="10496" width="37" style="500" customWidth="1"/>
    <col min="10497" max="10497" width="7.28515625" style="500" bestFit="1" customWidth="1"/>
    <col min="10498" max="10499" width="17.140625" style="500" customWidth="1"/>
    <col min="10500" max="10500" width="17.85546875" style="500" customWidth="1"/>
    <col min="10501" max="10501" width="7.42578125" style="500" customWidth="1"/>
    <col min="10502" max="10503" width="0" style="500" hidden="1" customWidth="1"/>
    <col min="10504" max="10504" width="49" style="500" customWidth="1"/>
    <col min="10505" max="10505" width="31.28515625" style="500" customWidth="1"/>
    <col min="10506" max="10506" width="12.28515625" style="500" bestFit="1" customWidth="1"/>
    <col min="10507" max="10751" width="11.42578125" style="500"/>
    <col min="10752" max="10752" width="37" style="500" customWidth="1"/>
    <col min="10753" max="10753" width="7.28515625" style="500" bestFit="1" customWidth="1"/>
    <col min="10754" max="10755" width="17.140625" style="500" customWidth="1"/>
    <col min="10756" max="10756" width="17.85546875" style="500" customWidth="1"/>
    <col min="10757" max="10757" width="7.42578125" style="500" customWidth="1"/>
    <col min="10758" max="10759" width="0" style="500" hidden="1" customWidth="1"/>
    <col min="10760" max="10760" width="49" style="500" customWidth="1"/>
    <col min="10761" max="10761" width="31.28515625" style="500" customWidth="1"/>
    <col min="10762" max="10762" width="12.28515625" style="500" bestFit="1" customWidth="1"/>
    <col min="10763" max="11007" width="11.42578125" style="500"/>
    <col min="11008" max="11008" width="37" style="500" customWidth="1"/>
    <col min="11009" max="11009" width="7.28515625" style="500" bestFit="1" customWidth="1"/>
    <col min="11010" max="11011" width="17.140625" style="500" customWidth="1"/>
    <col min="11012" max="11012" width="17.85546875" style="500" customWidth="1"/>
    <col min="11013" max="11013" width="7.42578125" style="500" customWidth="1"/>
    <col min="11014" max="11015" width="0" style="500" hidden="1" customWidth="1"/>
    <col min="11016" max="11016" width="49" style="500" customWidth="1"/>
    <col min="11017" max="11017" width="31.28515625" style="500" customWidth="1"/>
    <col min="11018" max="11018" width="12.28515625" style="500" bestFit="1" customWidth="1"/>
    <col min="11019" max="11263" width="11.42578125" style="500"/>
    <col min="11264" max="11264" width="37" style="500" customWidth="1"/>
    <col min="11265" max="11265" width="7.28515625" style="500" bestFit="1" customWidth="1"/>
    <col min="11266" max="11267" width="17.140625" style="500" customWidth="1"/>
    <col min="11268" max="11268" width="17.85546875" style="500" customWidth="1"/>
    <col min="11269" max="11269" width="7.42578125" style="500" customWidth="1"/>
    <col min="11270" max="11271" width="0" style="500" hidden="1" customWidth="1"/>
    <col min="11272" max="11272" width="49" style="500" customWidth="1"/>
    <col min="11273" max="11273" width="31.28515625" style="500" customWidth="1"/>
    <col min="11274" max="11274" width="12.28515625" style="500" bestFit="1" customWidth="1"/>
    <col min="11275" max="11519" width="11.42578125" style="500"/>
    <col min="11520" max="11520" width="37" style="500" customWidth="1"/>
    <col min="11521" max="11521" width="7.28515625" style="500" bestFit="1" customWidth="1"/>
    <col min="11522" max="11523" width="17.140625" style="500" customWidth="1"/>
    <col min="11524" max="11524" width="17.85546875" style="500" customWidth="1"/>
    <col min="11525" max="11525" width="7.42578125" style="500" customWidth="1"/>
    <col min="11526" max="11527" width="0" style="500" hidden="1" customWidth="1"/>
    <col min="11528" max="11528" width="49" style="500" customWidth="1"/>
    <col min="11529" max="11529" width="31.28515625" style="500" customWidth="1"/>
    <col min="11530" max="11530" width="12.28515625" style="500" bestFit="1" customWidth="1"/>
    <col min="11531" max="11775" width="11.42578125" style="500"/>
    <col min="11776" max="11776" width="37" style="500" customWidth="1"/>
    <col min="11777" max="11777" width="7.28515625" style="500" bestFit="1" customWidth="1"/>
    <col min="11778" max="11779" width="17.140625" style="500" customWidth="1"/>
    <col min="11780" max="11780" width="17.85546875" style="500" customWidth="1"/>
    <col min="11781" max="11781" width="7.42578125" style="500" customWidth="1"/>
    <col min="11782" max="11783" width="0" style="500" hidden="1" customWidth="1"/>
    <col min="11784" max="11784" width="49" style="500" customWidth="1"/>
    <col min="11785" max="11785" width="31.28515625" style="500" customWidth="1"/>
    <col min="11786" max="11786" width="12.28515625" style="500" bestFit="1" customWidth="1"/>
    <col min="11787" max="12031" width="11.42578125" style="500"/>
    <col min="12032" max="12032" width="37" style="500" customWidth="1"/>
    <col min="12033" max="12033" width="7.28515625" style="500" bestFit="1" customWidth="1"/>
    <col min="12034" max="12035" width="17.140625" style="500" customWidth="1"/>
    <col min="12036" max="12036" width="17.85546875" style="500" customWidth="1"/>
    <col min="12037" max="12037" width="7.42578125" style="500" customWidth="1"/>
    <col min="12038" max="12039" width="0" style="500" hidden="1" customWidth="1"/>
    <col min="12040" max="12040" width="49" style="500" customWidth="1"/>
    <col min="12041" max="12041" width="31.28515625" style="500" customWidth="1"/>
    <col min="12042" max="12042" width="12.28515625" style="500" bestFit="1" customWidth="1"/>
    <col min="12043" max="12287" width="11.42578125" style="500"/>
    <col min="12288" max="12288" width="37" style="500" customWidth="1"/>
    <col min="12289" max="12289" width="7.28515625" style="500" bestFit="1" customWidth="1"/>
    <col min="12290" max="12291" width="17.140625" style="500" customWidth="1"/>
    <col min="12292" max="12292" width="17.85546875" style="500" customWidth="1"/>
    <col min="12293" max="12293" width="7.42578125" style="500" customWidth="1"/>
    <col min="12294" max="12295" width="0" style="500" hidden="1" customWidth="1"/>
    <col min="12296" max="12296" width="49" style="500" customWidth="1"/>
    <col min="12297" max="12297" width="31.28515625" style="500" customWidth="1"/>
    <col min="12298" max="12298" width="12.28515625" style="500" bestFit="1" customWidth="1"/>
    <col min="12299" max="12543" width="11.42578125" style="500"/>
    <col min="12544" max="12544" width="37" style="500" customWidth="1"/>
    <col min="12545" max="12545" width="7.28515625" style="500" bestFit="1" customWidth="1"/>
    <col min="12546" max="12547" width="17.140625" style="500" customWidth="1"/>
    <col min="12548" max="12548" width="17.85546875" style="500" customWidth="1"/>
    <col min="12549" max="12549" width="7.42578125" style="500" customWidth="1"/>
    <col min="12550" max="12551" width="0" style="500" hidden="1" customWidth="1"/>
    <col min="12552" max="12552" width="49" style="500" customWidth="1"/>
    <col min="12553" max="12553" width="31.28515625" style="500" customWidth="1"/>
    <col min="12554" max="12554" width="12.28515625" style="500" bestFit="1" customWidth="1"/>
    <col min="12555" max="12799" width="11.42578125" style="500"/>
    <col min="12800" max="12800" width="37" style="500" customWidth="1"/>
    <col min="12801" max="12801" width="7.28515625" style="500" bestFit="1" customWidth="1"/>
    <col min="12802" max="12803" width="17.140625" style="500" customWidth="1"/>
    <col min="12804" max="12804" width="17.85546875" style="500" customWidth="1"/>
    <col min="12805" max="12805" width="7.42578125" style="500" customWidth="1"/>
    <col min="12806" max="12807" width="0" style="500" hidden="1" customWidth="1"/>
    <col min="12808" max="12808" width="49" style="500" customWidth="1"/>
    <col min="12809" max="12809" width="31.28515625" style="500" customWidth="1"/>
    <col min="12810" max="12810" width="12.28515625" style="500" bestFit="1" customWidth="1"/>
    <col min="12811" max="13055" width="11.42578125" style="500"/>
    <col min="13056" max="13056" width="37" style="500" customWidth="1"/>
    <col min="13057" max="13057" width="7.28515625" style="500" bestFit="1" customWidth="1"/>
    <col min="13058" max="13059" width="17.140625" style="500" customWidth="1"/>
    <col min="13060" max="13060" width="17.85546875" style="500" customWidth="1"/>
    <col min="13061" max="13061" width="7.42578125" style="500" customWidth="1"/>
    <col min="13062" max="13063" width="0" style="500" hidden="1" customWidth="1"/>
    <col min="13064" max="13064" width="49" style="500" customWidth="1"/>
    <col min="13065" max="13065" width="31.28515625" style="500" customWidth="1"/>
    <col min="13066" max="13066" width="12.28515625" style="500" bestFit="1" customWidth="1"/>
    <col min="13067" max="13311" width="11.42578125" style="500"/>
    <col min="13312" max="13312" width="37" style="500" customWidth="1"/>
    <col min="13313" max="13313" width="7.28515625" style="500" bestFit="1" customWidth="1"/>
    <col min="13314" max="13315" width="17.140625" style="500" customWidth="1"/>
    <col min="13316" max="13316" width="17.85546875" style="500" customWidth="1"/>
    <col min="13317" max="13317" width="7.42578125" style="500" customWidth="1"/>
    <col min="13318" max="13319" width="0" style="500" hidden="1" customWidth="1"/>
    <col min="13320" max="13320" width="49" style="500" customWidth="1"/>
    <col min="13321" max="13321" width="31.28515625" style="500" customWidth="1"/>
    <col min="13322" max="13322" width="12.28515625" style="500" bestFit="1" customWidth="1"/>
    <col min="13323" max="13567" width="11.42578125" style="500"/>
    <col min="13568" max="13568" width="37" style="500" customWidth="1"/>
    <col min="13569" max="13569" width="7.28515625" style="500" bestFit="1" customWidth="1"/>
    <col min="13570" max="13571" width="17.140625" style="500" customWidth="1"/>
    <col min="13572" max="13572" width="17.85546875" style="500" customWidth="1"/>
    <col min="13573" max="13573" width="7.42578125" style="500" customWidth="1"/>
    <col min="13574" max="13575" width="0" style="500" hidden="1" customWidth="1"/>
    <col min="13576" max="13576" width="49" style="500" customWidth="1"/>
    <col min="13577" max="13577" width="31.28515625" style="500" customWidth="1"/>
    <col min="13578" max="13578" width="12.28515625" style="500" bestFit="1" customWidth="1"/>
    <col min="13579" max="13823" width="11.42578125" style="500"/>
    <col min="13824" max="13824" width="37" style="500" customWidth="1"/>
    <col min="13825" max="13825" width="7.28515625" style="500" bestFit="1" customWidth="1"/>
    <col min="13826" max="13827" width="17.140625" style="500" customWidth="1"/>
    <col min="13828" max="13828" width="17.85546875" style="500" customWidth="1"/>
    <col min="13829" max="13829" width="7.42578125" style="500" customWidth="1"/>
    <col min="13830" max="13831" width="0" style="500" hidden="1" customWidth="1"/>
    <col min="13832" max="13832" width="49" style="500" customWidth="1"/>
    <col min="13833" max="13833" width="31.28515625" style="500" customWidth="1"/>
    <col min="13834" max="13834" width="12.28515625" style="500" bestFit="1" customWidth="1"/>
    <col min="13835" max="14079" width="11.42578125" style="500"/>
    <col min="14080" max="14080" width="37" style="500" customWidth="1"/>
    <col min="14081" max="14081" width="7.28515625" style="500" bestFit="1" customWidth="1"/>
    <col min="14082" max="14083" width="17.140625" style="500" customWidth="1"/>
    <col min="14084" max="14084" width="17.85546875" style="500" customWidth="1"/>
    <col min="14085" max="14085" width="7.42578125" style="500" customWidth="1"/>
    <col min="14086" max="14087" width="0" style="500" hidden="1" customWidth="1"/>
    <col min="14088" max="14088" width="49" style="500" customWidth="1"/>
    <col min="14089" max="14089" width="31.28515625" style="500" customWidth="1"/>
    <col min="14090" max="14090" width="12.28515625" style="500" bestFit="1" customWidth="1"/>
    <col min="14091" max="14335" width="11.42578125" style="500"/>
    <col min="14336" max="14336" width="37" style="500" customWidth="1"/>
    <col min="14337" max="14337" width="7.28515625" style="500" bestFit="1" customWidth="1"/>
    <col min="14338" max="14339" width="17.140625" style="500" customWidth="1"/>
    <col min="14340" max="14340" width="17.85546875" style="500" customWidth="1"/>
    <col min="14341" max="14341" width="7.42578125" style="500" customWidth="1"/>
    <col min="14342" max="14343" width="0" style="500" hidden="1" customWidth="1"/>
    <col min="14344" max="14344" width="49" style="500" customWidth="1"/>
    <col min="14345" max="14345" width="31.28515625" style="500" customWidth="1"/>
    <col min="14346" max="14346" width="12.28515625" style="500" bestFit="1" customWidth="1"/>
    <col min="14347" max="14591" width="11.42578125" style="500"/>
    <col min="14592" max="14592" width="37" style="500" customWidth="1"/>
    <col min="14593" max="14593" width="7.28515625" style="500" bestFit="1" customWidth="1"/>
    <col min="14594" max="14595" width="17.140625" style="500" customWidth="1"/>
    <col min="14596" max="14596" width="17.85546875" style="500" customWidth="1"/>
    <col min="14597" max="14597" width="7.42578125" style="500" customWidth="1"/>
    <col min="14598" max="14599" width="0" style="500" hidden="1" customWidth="1"/>
    <col min="14600" max="14600" width="49" style="500" customWidth="1"/>
    <col min="14601" max="14601" width="31.28515625" style="500" customWidth="1"/>
    <col min="14602" max="14602" width="12.28515625" style="500" bestFit="1" customWidth="1"/>
    <col min="14603" max="14847" width="11.42578125" style="500"/>
    <col min="14848" max="14848" width="37" style="500" customWidth="1"/>
    <col min="14849" max="14849" width="7.28515625" style="500" bestFit="1" customWidth="1"/>
    <col min="14850" max="14851" width="17.140625" style="500" customWidth="1"/>
    <col min="14852" max="14852" width="17.85546875" style="500" customWidth="1"/>
    <col min="14853" max="14853" width="7.42578125" style="500" customWidth="1"/>
    <col min="14854" max="14855" width="0" style="500" hidden="1" customWidth="1"/>
    <col min="14856" max="14856" width="49" style="500" customWidth="1"/>
    <col min="14857" max="14857" width="31.28515625" style="500" customWidth="1"/>
    <col min="14858" max="14858" width="12.28515625" style="500" bestFit="1" customWidth="1"/>
    <col min="14859" max="15103" width="11.42578125" style="500"/>
    <col min="15104" max="15104" width="37" style="500" customWidth="1"/>
    <col min="15105" max="15105" width="7.28515625" style="500" bestFit="1" customWidth="1"/>
    <col min="15106" max="15107" width="17.140625" style="500" customWidth="1"/>
    <col min="15108" max="15108" width="17.85546875" style="500" customWidth="1"/>
    <col min="15109" max="15109" width="7.42578125" style="500" customWidth="1"/>
    <col min="15110" max="15111" width="0" style="500" hidden="1" customWidth="1"/>
    <col min="15112" max="15112" width="49" style="500" customWidth="1"/>
    <col min="15113" max="15113" width="31.28515625" style="500" customWidth="1"/>
    <col min="15114" max="15114" width="12.28515625" style="500" bestFit="1" customWidth="1"/>
    <col min="15115" max="15359" width="11.42578125" style="500"/>
    <col min="15360" max="15360" width="37" style="500" customWidth="1"/>
    <col min="15361" max="15361" width="7.28515625" style="500" bestFit="1" customWidth="1"/>
    <col min="15362" max="15363" width="17.140625" style="500" customWidth="1"/>
    <col min="15364" max="15364" width="17.85546875" style="500" customWidth="1"/>
    <col min="15365" max="15365" width="7.42578125" style="500" customWidth="1"/>
    <col min="15366" max="15367" width="0" style="500" hidden="1" customWidth="1"/>
    <col min="15368" max="15368" width="49" style="500" customWidth="1"/>
    <col min="15369" max="15369" width="31.28515625" style="500" customWidth="1"/>
    <col min="15370" max="15370" width="12.28515625" style="500" bestFit="1" customWidth="1"/>
    <col min="15371" max="15615" width="11.42578125" style="500"/>
    <col min="15616" max="15616" width="37" style="500" customWidth="1"/>
    <col min="15617" max="15617" width="7.28515625" style="500" bestFit="1" customWidth="1"/>
    <col min="15618" max="15619" width="17.140625" style="500" customWidth="1"/>
    <col min="15620" max="15620" width="17.85546875" style="500" customWidth="1"/>
    <col min="15621" max="15621" width="7.42578125" style="500" customWidth="1"/>
    <col min="15622" max="15623" width="0" style="500" hidden="1" customWidth="1"/>
    <col min="15624" max="15624" width="49" style="500" customWidth="1"/>
    <col min="15625" max="15625" width="31.28515625" style="500" customWidth="1"/>
    <col min="15626" max="15626" width="12.28515625" style="500" bestFit="1" customWidth="1"/>
    <col min="15627" max="15871" width="11.42578125" style="500"/>
    <col min="15872" max="15872" width="37" style="500" customWidth="1"/>
    <col min="15873" max="15873" width="7.28515625" style="500" bestFit="1" customWidth="1"/>
    <col min="15874" max="15875" width="17.140625" style="500" customWidth="1"/>
    <col min="15876" max="15876" width="17.85546875" style="500" customWidth="1"/>
    <col min="15877" max="15877" width="7.42578125" style="500" customWidth="1"/>
    <col min="15878" max="15879" width="0" style="500" hidden="1" customWidth="1"/>
    <col min="15880" max="15880" width="49" style="500" customWidth="1"/>
    <col min="15881" max="15881" width="31.28515625" style="500" customWidth="1"/>
    <col min="15882" max="15882" width="12.28515625" style="500" bestFit="1" customWidth="1"/>
    <col min="15883" max="16127" width="11.42578125" style="500"/>
    <col min="16128" max="16128" width="37" style="500" customWidth="1"/>
    <col min="16129" max="16129" width="7.28515625" style="500" bestFit="1" customWidth="1"/>
    <col min="16130" max="16131" width="17.140625" style="500" customWidth="1"/>
    <col min="16132" max="16132" width="17.85546875" style="500" customWidth="1"/>
    <col min="16133" max="16133" width="7.42578125" style="500" customWidth="1"/>
    <col min="16134" max="16135" width="0" style="500" hidden="1" customWidth="1"/>
    <col min="16136" max="16136" width="49" style="500" customWidth="1"/>
    <col min="16137" max="16137" width="31.28515625" style="500" customWidth="1"/>
    <col min="16138" max="16138" width="12.28515625" style="500" bestFit="1" customWidth="1"/>
    <col min="16139" max="16384" width="11.42578125" style="500"/>
  </cols>
  <sheetData>
    <row r="1" spans="1:27">
      <c r="A1" s="499" t="s">
        <v>49</v>
      </c>
      <c r="B1" s="499"/>
      <c r="C1" s="499"/>
      <c r="D1" s="499"/>
    </row>
    <row r="2" spans="1:27">
      <c r="A2" s="499" t="s">
        <v>50</v>
      </c>
      <c r="B2" s="499"/>
      <c r="C2" s="499"/>
      <c r="D2" s="499"/>
    </row>
    <row r="3" spans="1:27">
      <c r="A3" s="855" t="s">
        <v>366</v>
      </c>
      <c r="B3" s="855"/>
      <c r="C3" s="855"/>
      <c r="D3" s="855"/>
      <c r="E3" s="855"/>
    </row>
    <row r="4" spans="1:27">
      <c r="A4" s="855" t="s">
        <v>52</v>
      </c>
      <c r="B4" s="855"/>
      <c r="C4" s="855"/>
      <c r="D4" s="855"/>
      <c r="E4" s="855"/>
    </row>
    <row r="5" spans="1:27">
      <c r="A5" s="50"/>
      <c r="B5" s="390"/>
      <c r="C5" s="390"/>
      <c r="D5" s="391"/>
      <c r="E5" s="391"/>
    </row>
    <row r="6" spans="1:27" ht="15.75">
      <c r="B6" s="390">
        <v>43983</v>
      </c>
      <c r="C6" s="390">
        <v>43952</v>
      </c>
      <c r="D6" s="501" t="s">
        <v>545</v>
      </c>
      <c r="E6" s="501" t="s">
        <v>17</v>
      </c>
      <c r="F6" s="502">
        <v>2009</v>
      </c>
      <c r="G6" s="502">
        <v>2008</v>
      </c>
      <c r="H6" s="389"/>
      <c r="I6" s="514"/>
      <c r="N6" s="389"/>
      <c r="O6" s="389"/>
      <c r="P6" s="389"/>
      <c r="Q6" s="389"/>
      <c r="R6" s="389"/>
      <c r="S6" s="389"/>
      <c r="T6" s="389"/>
      <c r="U6" s="389"/>
      <c r="V6" s="389"/>
      <c r="W6" s="389"/>
      <c r="X6" s="389"/>
      <c r="Y6" s="389"/>
      <c r="Z6" s="389"/>
      <c r="AA6" s="389"/>
    </row>
    <row r="7" spans="1:27" ht="19.5" customHeight="1">
      <c r="A7" s="503" t="s">
        <v>0</v>
      </c>
      <c r="B7" s="504"/>
      <c r="C7" s="504"/>
      <c r="F7" s="504"/>
      <c r="G7" s="504"/>
      <c r="H7" s="849"/>
      <c r="I7" s="593"/>
      <c r="J7" s="542"/>
      <c r="N7" s="389"/>
      <c r="O7" s="389"/>
      <c r="P7" s="389"/>
      <c r="Q7" s="389"/>
      <c r="R7" s="389"/>
      <c r="S7" s="389"/>
      <c r="T7" s="389"/>
      <c r="U7" s="389"/>
      <c r="V7" s="389"/>
      <c r="W7" s="389"/>
      <c r="X7" s="389"/>
      <c r="Y7" s="389"/>
      <c r="Z7" s="389"/>
      <c r="AA7" s="389"/>
    </row>
    <row r="8" spans="1:27" s="508" customFormat="1" ht="19.5" customHeight="1">
      <c r="A8" s="509" t="s">
        <v>55</v>
      </c>
      <c r="B8" s="511">
        <f>SUM(B9:B10)</f>
        <v>254000243.90999985</v>
      </c>
      <c r="C8" s="511">
        <f>SUM(C9:C10)</f>
        <v>236934432.90999985</v>
      </c>
      <c r="D8" s="511">
        <f>SUM(D9:D10)</f>
        <v>17065811</v>
      </c>
      <c r="E8" s="512">
        <f>+B8/C8-1</f>
        <v>7.2027568092994265E-2</v>
      </c>
      <c r="F8" s="511">
        <f>SUM(F9:F10)</f>
        <v>0</v>
      </c>
      <c r="G8" s="511">
        <f>SUM(G9:G10)</f>
        <v>0</v>
      </c>
      <c r="H8" s="849"/>
      <c r="I8" s="593"/>
      <c r="J8" s="531"/>
      <c r="N8" s="389"/>
      <c r="O8" s="389"/>
      <c r="P8" s="389"/>
      <c r="Q8" s="389"/>
      <c r="R8" s="389"/>
      <c r="S8" s="389"/>
      <c r="T8" s="389"/>
      <c r="U8" s="389"/>
      <c r="V8" s="389"/>
      <c r="W8" s="389"/>
      <c r="X8" s="389"/>
      <c r="Y8" s="389"/>
      <c r="Z8" s="389"/>
      <c r="AA8" s="389"/>
    </row>
    <row r="9" spans="1:27" s="508" customFormat="1" ht="15.75">
      <c r="A9" s="513" t="s">
        <v>56</v>
      </c>
      <c r="B9" s="593">
        <v>600000</v>
      </c>
      <c r="C9" s="593">
        <v>600000</v>
      </c>
      <c r="D9" s="515">
        <f>+B9-C9</f>
        <v>0</v>
      </c>
      <c r="E9" s="516">
        <f>IF(C9=0,0,D9/C9)</f>
        <v>0</v>
      </c>
      <c r="F9" s="517"/>
      <c r="G9" s="517"/>
      <c r="H9" s="849"/>
      <c r="I9" s="593"/>
      <c r="N9" s="389"/>
      <c r="O9" s="389"/>
      <c r="P9" s="389"/>
      <c r="Q9" s="389"/>
      <c r="R9" s="389"/>
      <c r="S9" s="389"/>
      <c r="T9" s="389"/>
      <c r="U9" s="389"/>
      <c r="V9" s="389"/>
      <c r="W9" s="389"/>
      <c r="X9" s="389"/>
      <c r="Y9" s="389"/>
      <c r="Z9" s="389"/>
      <c r="AA9" s="389"/>
    </row>
    <row r="10" spans="1:27" s="508" customFormat="1" ht="15.75">
      <c r="A10" s="513" t="s">
        <v>1</v>
      </c>
      <c r="B10" s="593">
        <v>253400243.90999985</v>
      </c>
      <c r="C10" s="593">
        <v>236334432.90999985</v>
      </c>
      <c r="D10" s="515">
        <f>+B10-C10</f>
        <v>17065811</v>
      </c>
      <c r="E10" s="516">
        <f>IF(C10=0,0,D10/C10)</f>
        <v>7.2210429897445153E-2</v>
      </c>
      <c r="F10" s="517"/>
      <c r="G10" s="517"/>
      <c r="H10" s="849"/>
      <c r="I10" s="593"/>
      <c r="N10" s="389"/>
      <c r="O10" s="389"/>
      <c r="P10" s="389"/>
      <c r="Q10" s="389"/>
      <c r="R10" s="389"/>
      <c r="S10" s="389"/>
      <c r="T10" s="389"/>
      <c r="U10" s="389"/>
      <c r="V10" s="389"/>
      <c r="W10" s="389"/>
      <c r="X10" s="389"/>
      <c r="Y10" s="389"/>
      <c r="Z10" s="389"/>
      <c r="AA10" s="389"/>
    </row>
    <row r="11" spans="1:27" s="508" customFormat="1" ht="21" customHeight="1">
      <c r="A11" s="509" t="s">
        <v>546</v>
      </c>
      <c r="B11" s="511">
        <v>731043.70000000659</v>
      </c>
      <c r="C11" s="511">
        <v>728302.07000005129</v>
      </c>
      <c r="D11" s="511">
        <f>+B11-C11</f>
        <v>2741.6299999553012</v>
      </c>
      <c r="E11" s="512">
        <f>+B11/C11-1</f>
        <v>3.7644133016883075E-3</v>
      </c>
      <c r="F11" s="511"/>
      <c r="G11" s="511"/>
      <c r="H11" s="849"/>
      <c r="I11" s="593"/>
      <c r="J11" s="521"/>
      <c r="N11" s="389"/>
      <c r="O11" s="389"/>
      <c r="P11" s="389"/>
      <c r="Q11" s="389"/>
      <c r="R11" s="389"/>
      <c r="S11" s="389"/>
      <c r="T11" s="389"/>
      <c r="U11" s="389"/>
      <c r="V11" s="389"/>
      <c r="W11" s="389"/>
      <c r="X11" s="389"/>
      <c r="Y11" s="389"/>
      <c r="Z11" s="389"/>
      <c r="AA11" s="389"/>
    </row>
    <row r="12" spans="1:27" s="508" customFormat="1" ht="24.75" customHeight="1">
      <c r="A12" s="509" t="s">
        <v>61</v>
      </c>
      <c r="B12" s="511">
        <f>SUM(B13:B17)</f>
        <v>85442038</v>
      </c>
      <c r="C12" s="511">
        <f>SUM(C13:C17)</f>
        <v>85743488</v>
      </c>
      <c r="D12" s="511">
        <f>SUM(D13:D17)</f>
        <v>-301450</v>
      </c>
      <c r="E12" s="512">
        <f>+B12/C12-1</f>
        <v>-3.5157188846808296E-3</v>
      </c>
      <c r="F12" s="511">
        <f>SUM(F13:F16)</f>
        <v>35625500</v>
      </c>
      <c r="G12" s="511">
        <f>SUM(G13:G16)</f>
        <v>30767660</v>
      </c>
      <c r="H12" s="849"/>
      <c r="I12" s="593"/>
      <c r="J12" s="390"/>
      <c r="N12" s="389"/>
      <c r="O12" s="389"/>
      <c r="P12" s="389"/>
      <c r="Q12" s="389"/>
      <c r="R12" s="389"/>
      <c r="S12" s="389"/>
      <c r="T12" s="389"/>
      <c r="U12" s="389"/>
      <c r="V12" s="389"/>
      <c r="W12" s="389"/>
      <c r="X12" s="389"/>
      <c r="Y12" s="389"/>
      <c r="Z12" s="389"/>
      <c r="AA12" s="389"/>
    </row>
    <row r="13" spans="1:27" s="508" customFormat="1" ht="15.75">
      <c r="A13" s="513" t="s">
        <v>62</v>
      </c>
      <c r="B13" s="593">
        <v>84421354</v>
      </c>
      <c r="C13" s="593">
        <v>85658604</v>
      </c>
      <c r="D13" s="515">
        <f t="shared" ref="D13:D18" si="0">+B13-C13</f>
        <v>-1237250</v>
      </c>
      <c r="E13" s="516">
        <f t="shared" ref="E13:E17" si="1">IF(C13=0,0,D13/C13)</f>
        <v>-1.4443966422800913E-2</v>
      </c>
      <c r="F13" s="518">
        <v>33892500</v>
      </c>
      <c r="G13" s="518">
        <v>29624680</v>
      </c>
      <c r="H13" s="849"/>
      <c r="I13" s="593"/>
      <c r="J13" s="514"/>
      <c r="K13" s="543"/>
      <c r="L13" s="516"/>
      <c r="N13" s="601"/>
      <c r="O13" s="389"/>
      <c r="P13" s="389"/>
      <c r="Q13" s="389"/>
      <c r="R13" s="389"/>
      <c r="S13" s="389"/>
      <c r="T13" s="389"/>
      <c r="U13" s="389"/>
      <c r="V13" s="389"/>
      <c r="W13" s="389"/>
      <c r="X13" s="389"/>
      <c r="Y13" s="389"/>
      <c r="Z13" s="389"/>
      <c r="AA13" s="389"/>
    </row>
    <row r="14" spans="1:27" s="508" customFormat="1" ht="15.75">
      <c r="A14" s="513" t="s">
        <v>63</v>
      </c>
      <c r="B14" s="593">
        <v>2468550</v>
      </c>
      <c r="C14" s="593">
        <v>2468550</v>
      </c>
      <c r="D14" s="515">
        <f t="shared" si="0"/>
        <v>0</v>
      </c>
      <c r="E14" s="516">
        <f t="shared" si="1"/>
        <v>0</v>
      </c>
      <c r="F14" s="518"/>
      <c r="G14" s="518">
        <v>20000</v>
      </c>
      <c r="H14" s="849"/>
      <c r="I14" s="593"/>
      <c r="J14" s="514"/>
      <c r="K14" s="543"/>
      <c r="L14" s="516"/>
      <c r="N14" s="601"/>
      <c r="O14" s="389"/>
      <c r="P14" s="389"/>
      <c r="Q14" s="389"/>
      <c r="R14" s="389"/>
      <c r="S14" s="389"/>
      <c r="T14" s="389"/>
      <c r="U14" s="389"/>
      <c r="V14" s="389"/>
      <c r="W14" s="389"/>
      <c r="X14" s="389"/>
      <c r="Y14" s="389"/>
      <c r="Z14" s="389"/>
      <c r="AA14" s="389"/>
    </row>
    <row r="15" spans="1:27" s="508" customFormat="1" ht="15.75">
      <c r="A15" s="523" t="s">
        <v>64</v>
      </c>
      <c r="B15" s="593">
        <f>8000+940000</f>
        <v>948000</v>
      </c>
      <c r="C15" s="593">
        <f>338000+930000</f>
        <v>1268000</v>
      </c>
      <c r="D15" s="515">
        <f t="shared" si="0"/>
        <v>-320000</v>
      </c>
      <c r="E15" s="516">
        <f t="shared" si="1"/>
        <v>-0.25236593059936907</v>
      </c>
      <c r="F15" s="518">
        <f>900000+178000</f>
        <v>1078000</v>
      </c>
      <c r="G15" s="518">
        <v>420000</v>
      </c>
      <c r="H15" s="849"/>
      <c r="I15" s="593"/>
      <c r="J15" s="514"/>
      <c r="K15" s="543"/>
      <c r="L15" s="516"/>
      <c r="N15" s="389"/>
      <c r="O15" s="389"/>
      <c r="P15" s="389"/>
      <c r="Q15" s="389"/>
      <c r="R15" s="389"/>
      <c r="S15" s="389"/>
      <c r="T15" s="389"/>
      <c r="U15" s="389"/>
      <c r="V15" s="389"/>
      <c r="W15" s="389"/>
      <c r="X15" s="389"/>
      <c r="Y15" s="389"/>
      <c r="Z15" s="389"/>
      <c r="AA15" s="389"/>
    </row>
    <row r="16" spans="1:27" s="508" customFormat="1" ht="15.75">
      <c r="A16" s="513" t="s">
        <v>547</v>
      </c>
      <c r="B16" s="593">
        <f>928600+75400+18100</f>
        <v>1022100</v>
      </c>
      <c r="C16" s="593">
        <f>928600+18100+75400</f>
        <v>1022100</v>
      </c>
      <c r="D16" s="515">
        <f t="shared" si="0"/>
        <v>0</v>
      </c>
      <c r="E16" s="516">
        <f t="shared" si="1"/>
        <v>0</v>
      </c>
      <c r="F16" s="518">
        <f>162000+206000+287000</f>
        <v>655000</v>
      </c>
      <c r="G16" s="518">
        <f>632000+70980</f>
        <v>702980</v>
      </c>
      <c r="H16" s="849"/>
      <c r="I16" s="593"/>
      <c r="J16" s="514"/>
      <c r="K16" s="543"/>
      <c r="L16" s="516"/>
      <c r="N16" s="389"/>
      <c r="O16" s="389"/>
      <c r="P16" s="389"/>
      <c r="Q16" s="389"/>
      <c r="R16" s="389"/>
      <c r="S16" s="389"/>
      <c r="T16" s="389"/>
      <c r="U16" s="389"/>
      <c r="V16" s="389"/>
      <c r="W16" s="389"/>
      <c r="X16" s="389"/>
      <c r="Y16" s="389"/>
      <c r="Z16" s="389"/>
      <c r="AA16" s="389"/>
    </row>
    <row r="17" spans="1:27" s="508" customFormat="1" ht="15.75">
      <c r="A17" s="513" t="s">
        <v>66</v>
      </c>
      <c r="B17" s="593">
        <v>-3417966</v>
      </c>
      <c r="C17" s="593">
        <v>-4673766</v>
      </c>
      <c r="D17" s="515">
        <f t="shared" si="0"/>
        <v>1255800</v>
      </c>
      <c r="E17" s="516">
        <f t="shared" si="1"/>
        <v>-0.26869124384917858</v>
      </c>
      <c r="F17" s="518"/>
      <c r="G17" s="518"/>
      <c r="H17" s="849"/>
      <c r="I17" s="593"/>
      <c r="J17" s="600"/>
      <c r="K17" s="600"/>
      <c r="L17" s="516"/>
      <c r="N17" s="389"/>
      <c r="O17" s="389"/>
      <c r="P17" s="389"/>
      <c r="Q17" s="389"/>
      <c r="R17" s="389"/>
      <c r="S17" s="389"/>
      <c r="T17" s="389"/>
      <c r="U17" s="389"/>
      <c r="V17" s="389"/>
      <c r="W17" s="389"/>
      <c r="X17" s="389"/>
      <c r="Y17" s="389"/>
      <c r="Z17" s="389"/>
      <c r="AA17" s="389"/>
    </row>
    <row r="18" spans="1:27" s="508" customFormat="1" ht="23.25" customHeight="1">
      <c r="A18" s="509" t="s">
        <v>67</v>
      </c>
      <c r="B18" s="520">
        <v>-20887675</v>
      </c>
      <c r="C18" s="520">
        <v>-20887675</v>
      </c>
      <c r="D18" s="511">
        <f t="shared" si="0"/>
        <v>0</v>
      </c>
      <c r="E18" s="512">
        <f>+B18/C18-1</f>
        <v>0</v>
      </c>
      <c r="F18" s="511"/>
      <c r="G18" s="511"/>
      <c r="H18" s="849"/>
      <c r="I18" s="593"/>
      <c r="N18" s="389"/>
      <c r="O18" s="389"/>
      <c r="P18" s="389"/>
      <c r="Q18" s="389"/>
      <c r="R18" s="389"/>
      <c r="S18" s="389"/>
      <c r="T18" s="389"/>
      <c r="U18" s="389"/>
      <c r="V18" s="389"/>
      <c r="W18" s="389"/>
      <c r="X18" s="389"/>
      <c r="Y18" s="389"/>
      <c r="Z18" s="389"/>
      <c r="AA18" s="389"/>
    </row>
    <row r="19" spans="1:27" s="508" customFormat="1" ht="24.75" customHeight="1">
      <c r="A19" s="509" t="s">
        <v>68</v>
      </c>
      <c r="B19" s="511">
        <f>SUM(B20:B22)</f>
        <v>5370733</v>
      </c>
      <c r="C19" s="511">
        <f>SUM(C20:C22)</f>
        <v>5141624</v>
      </c>
      <c r="D19" s="511">
        <f>SUM(D20:D22)</f>
        <v>229109</v>
      </c>
      <c r="E19" s="512">
        <f>+B19/C19-1</f>
        <v>4.4559656637669365E-2</v>
      </c>
      <c r="F19" s="511">
        <f>+F20+F22</f>
        <v>0</v>
      </c>
      <c r="G19" s="511">
        <f>+G20+G22</f>
        <v>0</v>
      </c>
      <c r="H19" s="849"/>
      <c r="I19" s="593"/>
      <c r="N19" s="389"/>
      <c r="O19" s="389"/>
      <c r="P19" s="389"/>
      <c r="Q19" s="389"/>
      <c r="R19" s="389"/>
      <c r="S19" s="389"/>
      <c r="T19" s="389"/>
      <c r="U19" s="389"/>
      <c r="V19" s="389"/>
      <c r="W19" s="389"/>
      <c r="X19" s="389"/>
      <c r="Y19" s="389"/>
      <c r="Z19" s="389"/>
      <c r="AA19" s="389"/>
    </row>
    <row r="20" spans="1:27" s="508" customFormat="1" ht="15.75">
      <c r="A20" s="513" t="s">
        <v>548</v>
      </c>
      <c r="B20" s="593">
        <v>5276033</v>
      </c>
      <c r="C20" s="593">
        <v>2809724</v>
      </c>
      <c r="D20" s="515">
        <f>+B20-C20</f>
        <v>2466309</v>
      </c>
      <c r="E20" s="516">
        <f>IF(C20=0,0,D20/C20)</f>
        <v>0.87777625133287118</v>
      </c>
      <c r="F20" s="518"/>
      <c r="G20" s="518"/>
      <c r="H20" s="849"/>
      <c r="I20" s="593"/>
      <c r="J20" s="521"/>
      <c r="N20" s="389"/>
      <c r="O20" s="389"/>
      <c r="P20" s="389"/>
      <c r="Q20" s="389"/>
      <c r="R20" s="389"/>
      <c r="S20" s="389"/>
      <c r="T20" s="389"/>
      <c r="U20" s="389"/>
      <c r="V20" s="389"/>
      <c r="W20" s="389"/>
      <c r="X20" s="389"/>
      <c r="Y20" s="389"/>
      <c r="Z20" s="389"/>
      <c r="AA20" s="389"/>
    </row>
    <row r="21" spans="1:27" s="508" customFormat="1" ht="15.75">
      <c r="A21" s="513" t="s">
        <v>1020</v>
      </c>
      <c r="B21" s="593"/>
      <c r="C21" s="593">
        <v>2237200</v>
      </c>
      <c r="D21" s="515">
        <f>+B21-C21</f>
        <v>-2237200</v>
      </c>
      <c r="E21" s="516">
        <f>IF(C21=0,0,D21/C21)</f>
        <v>-1</v>
      </c>
      <c r="F21" s="518"/>
      <c r="G21" s="518"/>
      <c r="H21" s="849"/>
      <c r="I21" s="593"/>
      <c r="J21" s="521"/>
      <c r="N21" s="389"/>
      <c r="O21" s="389"/>
      <c r="P21" s="389"/>
      <c r="Q21" s="389"/>
      <c r="R21" s="389"/>
      <c r="S21" s="389"/>
      <c r="T21" s="389"/>
      <c r="U21" s="389"/>
      <c r="V21" s="389"/>
      <c r="W21" s="389"/>
      <c r="X21" s="389"/>
      <c r="Y21" s="389"/>
      <c r="Z21" s="389"/>
      <c r="AA21" s="389"/>
    </row>
    <row r="22" spans="1:27" s="508" customFormat="1" ht="15.75">
      <c r="A22" s="513" t="s">
        <v>686</v>
      </c>
      <c r="B22" s="593">
        <v>94700</v>
      </c>
      <c r="C22" s="593">
        <v>94700</v>
      </c>
      <c r="D22" s="515">
        <f>+B22-C22</f>
        <v>0</v>
      </c>
      <c r="E22" s="516">
        <f>IF(C22=0,0,D22/C22)</f>
        <v>0</v>
      </c>
      <c r="F22" s="518"/>
      <c r="G22" s="518"/>
      <c r="H22" s="849"/>
      <c r="I22" s="593"/>
      <c r="N22" s="389"/>
      <c r="O22" s="389"/>
      <c r="P22" s="389"/>
      <c r="Q22" s="389"/>
      <c r="R22" s="389"/>
      <c r="S22" s="389"/>
      <c r="T22" s="389"/>
      <c r="U22" s="389"/>
      <c r="V22" s="389"/>
      <c r="W22" s="389"/>
      <c r="X22" s="389"/>
      <c r="Y22" s="389"/>
      <c r="Z22" s="389"/>
      <c r="AA22" s="389"/>
    </row>
    <row r="23" spans="1:27" s="508" customFormat="1" ht="25.5" customHeight="1">
      <c r="A23" s="509" t="s">
        <v>77</v>
      </c>
      <c r="B23" s="511">
        <f>SUM(B24:B24)</f>
        <v>7148450</v>
      </c>
      <c r="C23" s="511">
        <f>SUM(C24:C24)</f>
        <v>10722673</v>
      </c>
      <c r="D23" s="511">
        <f>SUM(D24:D24)</f>
        <v>-3574223</v>
      </c>
      <c r="E23" s="512">
        <f>+B23/C23-1</f>
        <v>-0.33333320898622942</v>
      </c>
      <c r="F23" s="511">
        <f>SUM(F24:F24)</f>
        <v>0</v>
      </c>
      <c r="G23" s="511">
        <f>SUM(G24:G24)</f>
        <v>0</v>
      </c>
      <c r="H23" s="849"/>
      <c r="I23" s="593"/>
      <c r="N23" s="389"/>
      <c r="O23" s="389"/>
      <c r="P23" s="389"/>
      <c r="Q23" s="389"/>
      <c r="R23" s="389"/>
      <c r="S23" s="389"/>
      <c r="T23" s="389"/>
      <c r="U23" s="389"/>
      <c r="V23" s="389"/>
      <c r="W23" s="389"/>
      <c r="X23" s="389"/>
      <c r="Y23" s="389"/>
      <c r="Z23" s="389"/>
      <c r="AA23" s="389"/>
    </row>
    <row r="24" spans="1:27" s="508" customFormat="1" ht="17.25" customHeight="1">
      <c r="A24" s="526" t="s">
        <v>78</v>
      </c>
      <c r="B24" s="593">
        <v>7148450</v>
      </c>
      <c r="C24" s="593">
        <v>10722673</v>
      </c>
      <c r="D24" s="515">
        <f>+B24-C24</f>
        <v>-3574223</v>
      </c>
      <c r="E24" s="516">
        <f>IF(C24=0,0,D24/C24)</f>
        <v>-0.33333320898622948</v>
      </c>
      <c r="F24" s="524"/>
      <c r="G24" s="524"/>
      <c r="H24" s="849"/>
      <c r="I24" s="593"/>
      <c r="N24" s="389"/>
      <c r="O24" s="389"/>
      <c r="P24" s="389"/>
      <c r="Q24" s="389"/>
      <c r="R24" s="389"/>
      <c r="S24" s="389"/>
      <c r="T24" s="389"/>
      <c r="U24" s="389"/>
      <c r="V24" s="389"/>
      <c r="W24" s="389"/>
      <c r="X24" s="389"/>
      <c r="Y24" s="389"/>
      <c r="Z24" s="389"/>
      <c r="AA24" s="389"/>
    </row>
    <row r="25" spans="1:27" s="508" customFormat="1" ht="22.5" customHeight="1">
      <c r="A25" s="510" t="s">
        <v>3</v>
      </c>
      <c r="B25" s="525">
        <f>+B8+B11+B12+B18+B19+B23</f>
        <v>331804833.6099999</v>
      </c>
      <c r="C25" s="525">
        <f>+C8+C11+C12+C18+C19+C23</f>
        <v>318382844.9799999</v>
      </c>
      <c r="D25" s="525">
        <f>+D8+D11+D12+D18+D19+D23</f>
        <v>13421988.629999954</v>
      </c>
      <c r="E25" s="512">
        <f>+B25/C25-1</f>
        <v>4.2156758260147864E-2</v>
      </c>
      <c r="F25" s="525" t="e">
        <f>+F8+F11+F12+F18+#REF!+F19+#REF!+#REF!+F23</f>
        <v>#REF!</v>
      </c>
      <c r="G25" s="525" t="e">
        <f>+G8+G11+G12+G18+#REF!+G19+#REF!+#REF!+G23</f>
        <v>#REF!</v>
      </c>
      <c r="H25" s="849"/>
      <c r="I25" s="593"/>
      <c r="J25" s="543"/>
      <c r="N25" s="389"/>
      <c r="O25" s="389"/>
      <c r="P25" s="389"/>
      <c r="Q25" s="389"/>
      <c r="R25" s="389"/>
      <c r="S25" s="389"/>
      <c r="T25" s="389"/>
      <c r="U25" s="389"/>
      <c r="V25" s="389"/>
      <c r="W25" s="389"/>
      <c r="X25" s="389"/>
      <c r="Y25" s="389"/>
      <c r="Z25" s="389"/>
      <c r="AA25" s="389"/>
    </row>
    <row r="26" spans="1:27" s="508" customFormat="1" ht="15.75">
      <c r="A26" s="513"/>
      <c r="B26" s="518"/>
      <c r="C26" s="518"/>
      <c r="D26" s="529"/>
      <c r="F26" s="518"/>
      <c r="G26" s="518"/>
      <c r="H26" s="849"/>
      <c r="I26" s="593"/>
      <c r="N26" s="389"/>
      <c r="O26" s="389"/>
      <c r="P26" s="389"/>
      <c r="Q26" s="389"/>
      <c r="R26" s="389"/>
      <c r="S26" s="389"/>
      <c r="T26" s="389"/>
      <c r="U26" s="389"/>
      <c r="V26" s="389"/>
      <c r="W26" s="389"/>
      <c r="X26" s="389"/>
      <c r="Y26" s="389"/>
      <c r="Z26" s="389"/>
      <c r="AA26" s="389"/>
    </row>
    <row r="27" spans="1:27" s="508" customFormat="1" ht="12.75" customHeight="1">
      <c r="A27" s="506" t="s">
        <v>4</v>
      </c>
      <c r="B27" s="518"/>
      <c r="C27" s="518"/>
      <c r="E27" s="519"/>
      <c r="F27" s="518"/>
      <c r="G27" s="518"/>
      <c r="H27" s="849"/>
      <c r="I27" s="593"/>
      <c r="N27" s="389"/>
      <c r="O27" s="389"/>
      <c r="P27" s="389"/>
      <c r="Q27" s="389"/>
      <c r="R27" s="389"/>
      <c r="S27" s="389"/>
      <c r="T27" s="389"/>
      <c r="U27" s="389"/>
      <c r="V27" s="389"/>
      <c r="W27" s="389"/>
      <c r="X27" s="389"/>
      <c r="Y27" s="389"/>
      <c r="Z27" s="389"/>
      <c r="AA27" s="389"/>
    </row>
    <row r="28" spans="1:27" s="508" customFormat="1" ht="25.5" customHeight="1">
      <c r="A28" s="530" t="s">
        <v>5</v>
      </c>
      <c r="B28" s="525">
        <f>SUM(B29:B41)</f>
        <v>65898412</v>
      </c>
      <c r="C28" s="525">
        <f>SUM(C29:C41)</f>
        <v>61746226</v>
      </c>
      <c r="D28" s="525">
        <f>+B28-C28</f>
        <v>4152186</v>
      </c>
      <c r="E28" s="512">
        <f>+B28/C28-1</f>
        <v>6.724598844308316E-2</v>
      </c>
      <c r="F28" s="525">
        <f>SUM(F29:F31)</f>
        <v>0</v>
      </c>
      <c r="G28" s="525">
        <f>SUM(G29:G31)</f>
        <v>0</v>
      </c>
      <c r="H28" s="849"/>
      <c r="I28" s="593"/>
      <c r="J28" s="531"/>
      <c r="N28" s="389"/>
      <c r="O28" s="389"/>
      <c r="P28" s="389"/>
      <c r="Q28" s="389"/>
      <c r="R28" s="389"/>
      <c r="S28" s="389"/>
      <c r="T28" s="389"/>
      <c r="U28" s="389"/>
      <c r="V28" s="389"/>
      <c r="W28" s="389"/>
      <c r="X28" s="389"/>
      <c r="Y28" s="389"/>
      <c r="Z28" s="389"/>
      <c r="AA28" s="389"/>
    </row>
    <row r="29" spans="1:27" s="508" customFormat="1" ht="15.75">
      <c r="A29" s="513" t="s">
        <v>6</v>
      </c>
      <c r="B29" s="593"/>
      <c r="C29" s="593">
        <v>831130</v>
      </c>
      <c r="D29" s="515">
        <f t="shared" ref="D29:D41" si="2">+B29-C29</f>
        <v>-831130</v>
      </c>
      <c r="E29" s="516">
        <f t="shared" ref="E29:E41" si="3">IF(C29=0,0,D29/C29)</f>
        <v>-1</v>
      </c>
      <c r="F29" s="518"/>
      <c r="G29" s="518"/>
      <c r="H29" s="849"/>
      <c r="I29" s="593"/>
      <c r="N29" s="389"/>
      <c r="O29" s="389"/>
      <c r="P29" s="389"/>
      <c r="Q29" s="389"/>
      <c r="R29" s="389"/>
      <c r="S29" s="389"/>
      <c r="T29" s="389"/>
      <c r="U29" s="389"/>
      <c r="V29" s="389"/>
      <c r="W29" s="389"/>
      <c r="X29" s="389"/>
      <c r="Y29" s="389"/>
      <c r="Z29" s="389"/>
      <c r="AA29" s="389"/>
    </row>
    <row r="30" spans="1:27" s="508" customFormat="1" ht="15.75">
      <c r="A30" s="513" t="s">
        <v>515</v>
      </c>
      <c r="B30" s="593">
        <v>2499000</v>
      </c>
      <c r="C30" s="593">
        <v>2499000</v>
      </c>
      <c r="D30" s="515">
        <f t="shared" si="2"/>
        <v>0</v>
      </c>
      <c r="E30" s="516">
        <f t="shared" si="3"/>
        <v>0</v>
      </c>
      <c r="F30" s="518"/>
      <c r="G30" s="518"/>
      <c r="H30" s="849"/>
      <c r="I30" s="593"/>
      <c r="N30" s="389"/>
      <c r="O30" s="389"/>
      <c r="P30" s="389"/>
      <c r="Q30" s="389"/>
      <c r="R30" s="389"/>
      <c r="S30" s="389"/>
      <c r="T30" s="389"/>
      <c r="U30" s="389"/>
      <c r="V30" s="389"/>
      <c r="W30" s="389"/>
      <c r="X30" s="389"/>
      <c r="Y30" s="389"/>
      <c r="Z30" s="389"/>
      <c r="AA30" s="389"/>
    </row>
    <row r="31" spans="1:27" s="508" customFormat="1" ht="15.75">
      <c r="A31" s="513" t="s">
        <v>81</v>
      </c>
      <c r="B31" s="593">
        <v>6556400</v>
      </c>
      <c r="C31" s="593">
        <v>4451000</v>
      </c>
      <c r="D31" s="515">
        <f t="shared" si="2"/>
        <v>2105400</v>
      </c>
      <c r="E31" s="516">
        <f t="shared" si="3"/>
        <v>0.47301729948326221</v>
      </c>
      <c r="F31" s="518"/>
      <c r="G31" s="518"/>
      <c r="H31" s="849"/>
      <c r="I31" s="593"/>
      <c r="N31" s="389"/>
      <c r="O31" s="389"/>
      <c r="P31" s="389"/>
      <c r="Q31" s="389"/>
      <c r="R31" s="389"/>
      <c r="S31" s="389"/>
      <c r="T31" s="389"/>
      <c r="U31" s="389"/>
      <c r="V31" s="389"/>
      <c r="W31" s="389"/>
      <c r="X31" s="389"/>
      <c r="Y31" s="389"/>
      <c r="Z31" s="389"/>
      <c r="AA31" s="389"/>
    </row>
    <row r="32" spans="1:27" s="508" customFormat="1" ht="15.75">
      <c r="A32" s="513" t="str">
        <f>+[3]dic19!A39</f>
        <v>Asistente Administrativa</v>
      </c>
      <c r="B32" s="593">
        <v>1851519</v>
      </c>
      <c r="C32" s="593">
        <v>1851519</v>
      </c>
      <c r="D32" s="515">
        <f t="shared" si="2"/>
        <v>0</v>
      </c>
      <c r="E32" s="516">
        <f t="shared" si="3"/>
        <v>0</v>
      </c>
      <c r="F32" s="518"/>
      <c r="G32" s="518"/>
      <c r="H32" s="849"/>
      <c r="I32" s="593"/>
      <c r="N32" s="389"/>
      <c r="O32" s="389"/>
      <c r="P32" s="389"/>
      <c r="Q32" s="389"/>
      <c r="R32" s="389"/>
      <c r="S32" s="389"/>
      <c r="T32" s="389"/>
      <c r="U32" s="389"/>
      <c r="V32" s="389"/>
      <c r="W32" s="389"/>
      <c r="X32" s="389"/>
      <c r="Y32" s="389"/>
      <c r="Z32" s="389"/>
      <c r="AA32" s="389"/>
    </row>
    <row r="33" spans="1:27" s="508" customFormat="1" ht="15.75">
      <c r="A33" s="513" t="s">
        <v>83</v>
      </c>
      <c r="B33" s="593">
        <v>41918824</v>
      </c>
      <c r="C33" s="593">
        <v>32987648</v>
      </c>
      <c r="D33" s="515">
        <f t="shared" si="2"/>
        <v>8931176</v>
      </c>
      <c r="E33" s="516">
        <f t="shared" si="3"/>
        <v>0.27074303690884538</v>
      </c>
      <c r="F33" s="518"/>
      <c r="G33" s="518"/>
      <c r="H33" s="849"/>
      <c r="I33" s="593"/>
      <c r="N33" s="389"/>
      <c r="O33" s="389"/>
      <c r="P33" s="389"/>
      <c r="Q33" s="389"/>
      <c r="R33" s="389"/>
      <c r="S33" s="389"/>
      <c r="T33" s="389"/>
      <c r="U33" s="389"/>
      <c r="V33" s="389"/>
      <c r="W33" s="389"/>
      <c r="X33" s="389"/>
      <c r="Y33" s="389"/>
      <c r="Z33" s="389"/>
      <c r="AA33" s="389"/>
    </row>
    <row r="34" spans="1:27" s="508" customFormat="1" ht="15.75">
      <c r="A34" s="513" t="s">
        <v>684</v>
      </c>
      <c r="B34" s="593">
        <f>7809723+1123000</f>
        <v>8932723</v>
      </c>
      <c r="C34" s="593">
        <f>1153613+7809723</f>
        <v>8963336</v>
      </c>
      <c r="D34" s="515">
        <f t="shared" si="2"/>
        <v>-30613</v>
      </c>
      <c r="E34" s="516">
        <f t="shared" si="3"/>
        <v>-3.4153578533706649E-3</v>
      </c>
      <c r="F34" s="518"/>
      <c r="G34" s="518"/>
      <c r="H34" s="849"/>
      <c r="I34" s="593"/>
      <c r="N34" s="389"/>
      <c r="O34" s="389"/>
      <c r="P34" s="389"/>
      <c r="Q34" s="389"/>
      <c r="R34" s="389"/>
      <c r="S34" s="389"/>
      <c r="T34" s="389"/>
      <c r="U34" s="389"/>
      <c r="V34" s="389"/>
      <c r="W34" s="389"/>
      <c r="X34" s="389"/>
      <c r="Y34" s="389"/>
      <c r="Z34" s="389"/>
      <c r="AA34" s="389"/>
    </row>
    <row r="35" spans="1:27" s="508" customFormat="1" ht="15.75">
      <c r="A35" s="513" t="s">
        <v>563</v>
      </c>
      <c r="B35" s="514"/>
      <c r="C35" s="514"/>
      <c r="D35" s="515">
        <f t="shared" ref="D35" si="4">+B35-C35</f>
        <v>0</v>
      </c>
      <c r="E35" s="516">
        <f t="shared" ref="E35" si="5">IF(C35=0,0,D35/C35)</f>
        <v>0</v>
      </c>
      <c r="F35" s="518"/>
      <c r="G35" s="518"/>
      <c r="H35" s="849"/>
      <c r="I35" s="593"/>
      <c r="N35" s="389"/>
      <c r="O35" s="389"/>
      <c r="P35" s="389"/>
      <c r="Q35" s="389"/>
      <c r="R35" s="389"/>
      <c r="S35" s="389"/>
      <c r="T35" s="389"/>
      <c r="U35" s="389"/>
      <c r="V35" s="389"/>
      <c r="W35" s="389"/>
      <c r="X35" s="389"/>
      <c r="Y35" s="389"/>
      <c r="Z35" s="389"/>
      <c r="AA35" s="389"/>
    </row>
    <row r="36" spans="1:27" s="508" customFormat="1" ht="15.75">
      <c r="A36" s="513" t="s">
        <v>86</v>
      </c>
      <c r="B36" s="593">
        <v>1607395</v>
      </c>
      <c r="C36" s="593">
        <v>270588</v>
      </c>
      <c r="D36" s="515">
        <f t="shared" si="2"/>
        <v>1336807</v>
      </c>
      <c r="E36" s="516">
        <f t="shared" si="3"/>
        <v>4.9403779916330359</v>
      </c>
      <c r="F36" s="518"/>
      <c r="G36" s="518"/>
      <c r="H36" s="849"/>
      <c r="I36" s="593"/>
      <c r="N36" s="389"/>
      <c r="O36" s="389"/>
      <c r="P36" s="389"/>
      <c r="Q36" s="389"/>
      <c r="R36" s="389"/>
      <c r="S36" s="389"/>
      <c r="T36" s="389"/>
      <c r="U36" s="389"/>
      <c r="V36" s="389"/>
      <c r="W36" s="389"/>
      <c r="X36" s="389"/>
      <c r="Y36" s="389"/>
      <c r="Z36" s="389"/>
      <c r="AA36" s="389"/>
    </row>
    <row r="37" spans="1:27" s="508" customFormat="1" ht="15.75">
      <c r="A37" s="513" t="s">
        <v>177</v>
      </c>
      <c r="B37" s="593">
        <v>188000</v>
      </c>
      <c r="C37" s="514"/>
      <c r="D37" s="515">
        <f t="shared" si="2"/>
        <v>188000</v>
      </c>
      <c r="E37" s="516">
        <f t="shared" si="3"/>
        <v>0</v>
      </c>
      <c r="F37" s="518"/>
      <c r="G37" s="518"/>
      <c r="H37" s="849"/>
      <c r="I37" s="593"/>
      <c r="N37" s="389"/>
      <c r="O37" s="389"/>
      <c r="P37" s="389"/>
      <c r="Q37" s="389"/>
      <c r="R37" s="389"/>
      <c r="S37" s="389"/>
      <c r="T37" s="389"/>
      <c r="U37" s="389"/>
      <c r="V37" s="389"/>
      <c r="W37" s="389"/>
      <c r="X37" s="389"/>
      <c r="Y37" s="389"/>
      <c r="Z37" s="389"/>
      <c r="AA37" s="389"/>
    </row>
    <row r="38" spans="1:27" s="508" customFormat="1" ht="15.75">
      <c r="A38" s="513" t="str">
        <f>+[3]dic19!A46</f>
        <v>Mant locativos</v>
      </c>
      <c r="B38" s="593">
        <v>0</v>
      </c>
      <c r="C38" s="593">
        <f>4261800+658000</f>
        <v>4919800</v>
      </c>
      <c r="D38" s="515">
        <f t="shared" si="2"/>
        <v>-4919800</v>
      </c>
      <c r="E38" s="516">
        <f t="shared" si="3"/>
        <v>-1</v>
      </c>
      <c r="F38" s="518"/>
      <c r="G38" s="518"/>
      <c r="H38" s="849"/>
      <c r="I38" s="593"/>
      <c r="N38" s="389"/>
      <c r="O38" s="389"/>
      <c r="P38" s="389"/>
      <c r="Q38" s="389"/>
      <c r="R38" s="389"/>
      <c r="S38" s="389"/>
      <c r="T38" s="389"/>
      <c r="U38" s="389"/>
      <c r="V38" s="389"/>
      <c r="W38" s="389"/>
      <c r="X38" s="389"/>
      <c r="Y38" s="389"/>
      <c r="Z38" s="389"/>
      <c r="AA38" s="389"/>
    </row>
    <row r="39" spans="1:27" s="508" customFormat="1" ht="15.75">
      <c r="A39" s="513" t="s">
        <v>1028</v>
      </c>
      <c r="B39" s="593"/>
      <c r="C39" s="593">
        <f>446500+831900+533800</f>
        <v>1812200</v>
      </c>
      <c r="D39" s="515">
        <f t="shared" si="2"/>
        <v>-1812200</v>
      </c>
      <c r="E39" s="516">
        <f t="shared" si="3"/>
        <v>-1</v>
      </c>
      <c r="F39" s="518"/>
      <c r="G39" s="518"/>
      <c r="H39" s="849"/>
      <c r="I39" s="593"/>
      <c r="N39" s="389"/>
      <c r="O39" s="389"/>
      <c r="P39" s="389"/>
      <c r="Q39" s="389"/>
      <c r="R39" s="389"/>
      <c r="S39" s="389"/>
      <c r="T39" s="389"/>
      <c r="U39" s="389"/>
      <c r="V39" s="389"/>
      <c r="W39" s="389"/>
      <c r="X39" s="389"/>
      <c r="Y39" s="389"/>
      <c r="Z39" s="389"/>
      <c r="AA39" s="389"/>
    </row>
    <row r="40" spans="1:27" s="508" customFormat="1" ht="15.75">
      <c r="A40" s="513" t="s">
        <v>550</v>
      </c>
      <c r="B40" s="593">
        <f>582790+347000+1199622</f>
        <v>2129412</v>
      </c>
      <c r="C40" s="593">
        <f>561160+1778500+63650</f>
        <v>2403310</v>
      </c>
      <c r="D40" s="515">
        <f t="shared" si="2"/>
        <v>-273898</v>
      </c>
      <c r="E40" s="516">
        <f t="shared" si="3"/>
        <v>-0.11396698719682438</v>
      </c>
      <c r="F40" s="518"/>
      <c r="G40" s="518"/>
      <c r="H40" s="849"/>
      <c r="I40" s="593"/>
      <c r="N40" s="389"/>
      <c r="O40" s="389"/>
      <c r="P40" s="389"/>
      <c r="Q40" s="389"/>
      <c r="R40" s="389"/>
      <c r="S40" s="389"/>
      <c r="T40" s="389"/>
      <c r="U40" s="389"/>
      <c r="V40" s="389"/>
      <c r="W40" s="389"/>
      <c r="X40" s="389"/>
      <c r="Y40" s="389"/>
      <c r="Z40" s="389"/>
      <c r="AA40" s="389"/>
    </row>
    <row r="41" spans="1:27" s="508" customFormat="1" ht="16.5" customHeight="1">
      <c r="A41" s="513" t="s">
        <v>82</v>
      </c>
      <c r="B41" s="593">
        <v>215139</v>
      </c>
      <c r="C41" s="593">
        <v>756695</v>
      </c>
      <c r="D41" s="515">
        <f t="shared" si="2"/>
        <v>-541556</v>
      </c>
      <c r="E41" s="516">
        <f t="shared" si="3"/>
        <v>-0.71568597651629784</v>
      </c>
      <c r="F41" s="518"/>
      <c r="G41" s="518"/>
      <c r="H41" s="849"/>
      <c r="I41" s="593"/>
      <c r="N41" s="389"/>
      <c r="O41" s="389"/>
      <c r="P41" s="389"/>
      <c r="Q41" s="389"/>
      <c r="R41" s="389"/>
      <c r="S41" s="389"/>
      <c r="T41" s="389"/>
      <c r="U41" s="389"/>
      <c r="V41" s="389"/>
      <c r="W41" s="389"/>
      <c r="X41" s="389"/>
      <c r="Y41" s="389"/>
      <c r="Z41" s="389"/>
      <c r="AA41" s="389"/>
    </row>
    <row r="42" spans="1:27" s="508" customFormat="1" ht="21.75" customHeight="1">
      <c r="A42" s="530" t="s">
        <v>88</v>
      </c>
      <c r="B42" s="525">
        <f>+B43</f>
        <v>7029860</v>
      </c>
      <c r="C42" s="525">
        <f>+C43</f>
        <v>5662900</v>
      </c>
      <c r="D42" s="525">
        <f>+B42-C42</f>
        <v>1366960</v>
      </c>
      <c r="E42" s="512">
        <f>+B42/C42-1</f>
        <v>0.24138868777481504</v>
      </c>
      <c r="F42" s="525"/>
      <c r="G42" s="525"/>
      <c r="H42" s="849"/>
      <c r="I42" s="593"/>
      <c r="N42" s="389"/>
      <c r="O42" s="389"/>
      <c r="P42" s="389"/>
      <c r="Q42" s="389"/>
      <c r="R42" s="389"/>
      <c r="S42" s="389"/>
      <c r="T42" s="389"/>
      <c r="U42" s="389"/>
      <c r="V42" s="389"/>
      <c r="W42" s="389"/>
      <c r="X42" s="389"/>
      <c r="Y42" s="389"/>
      <c r="Z42" s="389"/>
      <c r="AA42" s="389"/>
    </row>
    <row r="43" spans="1:27" s="508" customFormat="1" ht="15.75">
      <c r="A43" s="513" t="s">
        <v>62</v>
      </c>
      <c r="B43" s="593">
        <v>7029860</v>
      </c>
      <c r="C43" s="593">
        <v>5662900</v>
      </c>
      <c r="D43" s="515">
        <f>+B43-C43</f>
        <v>1366960</v>
      </c>
      <c r="E43" s="516">
        <f>IF(C43=0,0,D43/C43)</f>
        <v>0.24138868777481504</v>
      </c>
      <c r="F43" s="518"/>
      <c r="G43" s="518"/>
      <c r="H43" s="849"/>
      <c r="I43" s="593"/>
      <c r="N43" s="389"/>
      <c r="O43" s="389"/>
      <c r="P43" s="389"/>
      <c r="Q43" s="389"/>
      <c r="R43" s="389"/>
      <c r="S43" s="389"/>
      <c r="T43" s="389"/>
      <c r="U43" s="389"/>
      <c r="V43" s="389"/>
      <c r="W43" s="389"/>
      <c r="X43" s="389"/>
      <c r="Y43" s="389"/>
      <c r="Z43" s="389"/>
      <c r="AA43" s="389"/>
    </row>
    <row r="44" spans="1:27" s="508" customFormat="1" ht="24" customHeight="1">
      <c r="A44" s="530" t="s">
        <v>552</v>
      </c>
      <c r="B44" s="525">
        <f>SUM(B45:B45)</f>
        <v>156649</v>
      </c>
      <c r="C44" s="525">
        <f>SUM(C45:C45)</f>
        <v>25749</v>
      </c>
      <c r="D44" s="525">
        <f>SUM(D45:D45)</f>
        <v>130900</v>
      </c>
      <c r="E44" s="512">
        <f>+B44/C44-1</f>
        <v>5.0836925705852654</v>
      </c>
      <c r="F44" s="525" t="e">
        <f>SUM(#REF!)</f>
        <v>#REF!</v>
      </c>
      <c r="G44" s="525" t="e">
        <f>SUM(#REF!)</f>
        <v>#REF!</v>
      </c>
      <c r="H44" s="849"/>
      <c r="I44" s="593"/>
      <c r="N44" s="389"/>
      <c r="O44" s="389"/>
      <c r="P44" s="389"/>
      <c r="Q44" s="389"/>
      <c r="R44" s="389"/>
      <c r="S44" s="389"/>
      <c r="T44" s="389"/>
      <c r="U44" s="389"/>
      <c r="V44" s="389"/>
      <c r="W44" s="389"/>
      <c r="X44" s="389"/>
      <c r="Y44" s="389"/>
      <c r="Z44" s="389"/>
      <c r="AA44" s="389"/>
    </row>
    <row r="45" spans="1:27" s="508" customFormat="1" ht="15.75">
      <c r="A45" s="513" t="s">
        <v>553</v>
      </c>
      <c r="B45" s="593">
        <v>156649</v>
      </c>
      <c r="C45" s="593">
        <v>25749</v>
      </c>
      <c r="D45" s="515">
        <f>+B45-C45</f>
        <v>130900</v>
      </c>
      <c r="E45" s="516">
        <f>IF(C45=0,0,D45/C45)</f>
        <v>5.0836925705852654</v>
      </c>
      <c r="F45" s="518"/>
      <c r="G45" s="518"/>
      <c r="H45" s="849"/>
      <c r="I45" s="593"/>
      <c r="N45" s="389"/>
      <c r="O45" s="389"/>
      <c r="P45" s="389"/>
      <c r="Q45" s="389"/>
      <c r="R45" s="389"/>
      <c r="S45" s="389"/>
      <c r="T45" s="389"/>
      <c r="U45" s="389"/>
      <c r="V45" s="389"/>
      <c r="W45" s="389"/>
      <c r="X45" s="389"/>
      <c r="Y45" s="389"/>
      <c r="Z45" s="389"/>
      <c r="AA45" s="389"/>
    </row>
    <row r="46" spans="1:27" s="508" customFormat="1" ht="22.5" customHeight="1">
      <c r="A46" s="510" t="s">
        <v>7</v>
      </c>
      <c r="B46" s="536">
        <f>+B28+B42+B44</f>
        <v>73084921</v>
      </c>
      <c r="C46" s="536">
        <f>+C28+C42+C44</f>
        <v>67434875</v>
      </c>
      <c r="D46" s="536">
        <f>+D28+D42+D44</f>
        <v>5650046</v>
      </c>
      <c r="E46" s="512">
        <f>+D46/C46</f>
        <v>8.3785222409027971E-2</v>
      </c>
      <c r="F46" s="536" t="e">
        <f>+F28+#REF!+F42+F44</f>
        <v>#REF!</v>
      </c>
      <c r="G46" s="536" t="e">
        <f>+G28+#REF!+G42+G44</f>
        <v>#REF!</v>
      </c>
      <c r="H46" s="849"/>
      <c r="I46" s="593"/>
      <c r="N46" s="389"/>
      <c r="O46" s="389"/>
      <c r="P46" s="389"/>
      <c r="Q46" s="389"/>
      <c r="R46" s="389"/>
      <c r="S46" s="389"/>
      <c r="T46" s="389"/>
      <c r="U46" s="389"/>
      <c r="V46" s="389"/>
      <c r="W46" s="389"/>
      <c r="X46" s="389"/>
      <c r="Y46" s="389"/>
      <c r="Z46" s="389"/>
      <c r="AA46" s="389"/>
    </row>
    <row r="47" spans="1:27" s="508" customFormat="1" ht="15.75">
      <c r="A47" s="513"/>
      <c r="B47" s="518"/>
      <c r="C47" s="518"/>
      <c r="D47" s="524"/>
      <c r="E47" s="519"/>
      <c r="F47" s="518"/>
      <c r="G47" s="518"/>
      <c r="H47" s="849"/>
      <c r="I47" s="593"/>
      <c r="N47" s="389"/>
      <c r="O47" s="389"/>
      <c r="P47" s="389"/>
      <c r="Q47" s="389"/>
      <c r="R47" s="389"/>
      <c r="S47" s="389"/>
      <c r="T47" s="389"/>
      <c r="U47" s="389"/>
      <c r="V47" s="389"/>
      <c r="W47" s="389"/>
      <c r="X47" s="389"/>
      <c r="Y47" s="389"/>
      <c r="Z47" s="389"/>
      <c r="AA47" s="389"/>
    </row>
    <row r="48" spans="1:27" s="508" customFormat="1" ht="27" customHeight="1">
      <c r="A48" s="509" t="s">
        <v>8</v>
      </c>
      <c r="B48" s="536">
        <f>SUM(B49:B56)</f>
        <v>258719913</v>
      </c>
      <c r="C48" s="536">
        <f>SUM(C49:C56)</f>
        <v>250947969.44</v>
      </c>
      <c r="D48" s="536">
        <f>SUM(D49:D56)</f>
        <v>7771943.5600000024</v>
      </c>
      <c r="E48" s="512">
        <f>+B48/C48-1</f>
        <v>3.0970338502213757E-2</v>
      </c>
      <c r="F48" s="536">
        <f>SUM(F49:F54)</f>
        <v>0</v>
      </c>
      <c r="G48" s="536">
        <f>SUM(G49:G54)</f>
        <v>0</v>
      </c>
      <c r="H48" s="849"/>
      <c r="I48" s="593"/>
      <c r="N48" s="389"/>
      <c r="O48" s="389"/>
      <c r="P48" s="389"/>
      <c r="Q48" s="389"/>
      <c r="R48" s="389"/>
      <c r="S48" s="389"/>
      <c r="T48" s="389"/>
      <c r="U48" s="389"/>
      <c r="V48" s="389"/>
      <c r="W48" s="389"/>
      <c r="X48" s="389"/>
      <c r="Y48" s="389"/>
      <c r="Z48" s="389"/>
      <c r="AA48" s="389"/>
    </row>
    <row r="49" spans="1:27" s="508" customFormat="1" ht="15.75">
      <c r="A49" s="513" t="s">
        <v>554</v>
      </c>
      <c r="B49" s="593">
        <v>22992413.440000001</v>
      </c>
      <c r="C49" s="593">
        <v>21935553.440000001</v>
      </c>
      <c r="D49" s="515">
        <f t="shared" ref="D49" si="6">+B49-C49</f>
        <v>1056860</v>
      </c>
      <c r="E49" s="516">
        <f t="shared" ref="E49" si="7">IF(C49=0,0,D49/C49)</f>
        <v>4.8180229547926098E-2</v>
      </c>
      <c r="F49" s="518"/>
      <c r="G49" s="518"/>
      <c r="H49" s="849"/>
      <c r="I49" s="593"/>
      <c r="N49" s="389"/>
      <c r="O49" s="389"/>
      <c r="P49" s="593"/>
      <c r="Q49" s="389"/>
      <c r="R49" s="389"/>
      <c r="S49" s="389"/>
      <c r="T49" s="389"/>
      <c r="U49" s="389"/>
      <c r="V49" s="389"/>
      <c r="W49" s="389"/>
      <c r="X49" s="389"/>
      <c r="Y49" s="389"/>
      <c r="Z49" s="389"/>
      <c r="AA49" s="389"/>
    </row>
    <row r="50" spans="1:27" s="508" customFormat="1" ht="15.75">
      <c r="A50" s="513" t="str">
        <f>+[3]dic19!A54</f>
        <v>Fondo para Mant Sótanos</v>
      </c>
      <c r="B50" s="593">
        <v>0</v>
      </c>
      <c r="C50" s="593">
        <v>0</v>
      </c>
      <c r="D50" s="515">
        <f t="shared" ref="D50:D56" si="8">+B50-C50</f>
        <v>0</v>
      </c>
      <c r="E50" s="516">
        <f t="shared" ref="E50:E56" si="9">IF(C50=0,0,D50/C50)</f>
        <v>0</v>
      </c>
      <c r="F50" s="518"/>
      <c r="G50" s="518"/>
      <c r="H50" s="849"/>
      <c r="I50" s="593"/>
      <c r="N50" s="389"/>
      <c r="O50" s="389"/>
      <c r="P50" s="593"/>
      <c r="Q50" s="389"/>
      <c r="R50" s="389"/>
      <c r="S50" s="389"/>
      <c r="T50" s="389"/>
      <c r="U50" s="389"/>
      <c r="V50" s="389"/>
      <c r="W50" s="389"/>
      <c r="X50" s="389"/>
      <c r="Y50" s="389"/>
      <c r="Z50" s="389"/>
      <c r="AA50" s="389"/>
    </row>
    <row r="51" spans="1:27" s="508" customFormat="1" ht="15.75">
      <c r="A51" s="513" t="s">
        <v>555</v>
      </c>
      <c r="B51" s="593">
        <v>24919468.010000002</v>
      </c>
      <c r="C51" s="593">
        <v>23076631</v>
      </c>
      <c r="D51" s="515">
        <f t="shared" si="8"/>
        <v>1842837.0100000016</v>
      </c>
      <c r="E51" s="516">
        <f t="shared" si="9"/>
        <v>7.9857281160321952E-2</v>
      </c>
      <c r="F51" s="518"/>
      <c r="G51" s="518"/>
      <c r="H51" s="849"/>
      <c r="I51" s="593"/>
      <c r="N51" s="389"/>
      <c r="O51" s="389"/>
      <c r="P51" s="593"/>
      <c r="Q51" s="389"/>
      <c r="R51" s="389"/>
      <c r="S51" s="389"/>
      <c r="T51" s="389"/>
      <c r="U51" s="389"/>
      <c r="V51" s="389"/>
      <c r="W51" s="389"/>
      <c r="X51" s="389"/>
      <c r="Y51" s="389"/>
      <c r="Z51" s="389"/>
      <c r="AA51" s="389"/>
    </row>
    <row r="52" spans="1:27" s="508" customFormat="1" ht="15.75">
      <c r="A52" s="513" t="str">
        <f>+[3]dic19!A56</f>
        <v>Fondo para Remodelacion Recepcion</v>
      </c>
      <c r="B52" s="593">
        <v>84463323</v>
      </c>
      <c r="C52" s="593">
        <f>58303739+8781884</f>
        <v>67085623</v>
      </c>
      <c r="D52" s="515">
        <f t="shared" si="8"/>
        <v>17377700</v>
      </c>
      <c r="E52" s="516">
        <f t="shared" si="9"/>
        <v>0.25903761823900778</v>
      </c>
      <c r="F52" s="518"/>
      <c r="G52" s="518"/>
      <c r="H52" s="849"/>
      <c r="I52" s="593"/>
      <c r="N52" s="389"/>
      <c r="O52" s="389"/>
      <c r="P52" s="593"/>
      <c r="Q52" s="389"/>
      <c r="R52" s="389"/>
      <c r="S52" s="389"/>
      <c r="T52" s="389"/>
      <c r="U52" s="389"/>
      <c r="V52" s="389"/>
      <c r="W52" s="389"/>
      <c r="X52" s="389"/>
      <c r="Y52" s="389"/>
      <c r="Z52" s="389"/>
      <c r="AA52" s="389"/>
    </row>
    <row r="53" spans="1:27" s="508" customFormat="1" ht="15.75">
      <c r="A53" s="513" t="str">
        <f>+[3]dic19!A57</f>
        <v>Fondos con Destinacion Específica</v>
      </c>
      <c r="B53" s="593">
        <v>29412365</v>
      </c>
      <c r="C53" s="593">
        <v>29412365</v>
      </c>
      <c r="D53" s="515">
        <f t="shared" si="8"/>
        <v>0</v>
      </c>
      <c r="E53" s="516">
        <f t="shared" si="9"/>
        <v>0</v>
      </c>
      <c r="F53" s="518"/>
      <c r="G53" s="518"/>
      <c r="H53" s="849"/>
      <c r="I53" s="593"/>
      <c r="N53" s="389"/>
      <c r="O53" s="389"/>
      <c r="P53" s="593"/>
      <c r="Q53" s="389"/>
      <c r="R53" s="389"/>
      <c r="S53" s="389"/>
      <c r="T53" s="389"/>
      <c r="U53" s="389"/>
      <c r="V53" s="389"/>
      <c r="W53" s="389"/>
      <c r="X53" s="389"/>
      <c r="Y53" s="389"/>
      <c r="Z53" s="389"/>
      <c r="AA53" s="389"/>
    </row>
    <row r="54" spans="1:27" s="508" customFormat="1" ht="15.75">
      <c r="A54" s="513" t="s">
        <v>1093</v>
      </c>
      <c r="B54" s="593">
        <v>29084770.549999997</v>
      </c>
      <c r="C54" s="514">
        <v>0</v>
      </c>
      <c r="D54" s="515">
        <f t="shared" si="8"/>
        <v>29084770.549999997</v>
      </c>
      <c r="E54" s="516">
        <f t="shared" si="9"/>
        <v>0</v>
      </c>
      <c r="F54" s="518"/>
      <c r="G54" s="518"/>
      <c r="H54" s="849"/>
      <c r="I54" s="593"/>
      <c r="N54" s="389"/>
      <c r="O54" s="389"/>
      <c r="P54" s="593"/>
      <c r="Q54" s="389"/>
      <c r="R54" s="389"/>
      <c r="S54" s="389"/>
      <c r="T54" s="389"/>
      <c r="U54" s="389"/>
      <c r="V54" s="389"/>
      <c r="W54" s="389"/>
      <c r="X54" s="389"/>
      <c r="Y54" s="389"/>
      <c r="Z54" s="389"/>
      <c r="AA54" s="389"/>
    </row>
    <row r="55" spans="1:27" s="508" customFormat="1" ht="15.75">
      <c r="A55" s="513" t="s">
        <v>556</v>
      </c>
      <c r="B55" s="593">
        <v>67847573</v>
      </c>
      <c r="C55" s="593">
        <v>62975326</v>
      </c>
      <c r="D55" s="515">
        <f t="shared" si="8"/>
        <v>4872247</v>
      </c>
      <c r="E55" s="516">
        <f t="shared" si="9"/>
        <v>7.73675550325853E-2</v>
      </c>
      <c r="F55" s="518"/>
      <c r="G55" s="518"/>
      <c r="H55" s="849"/>
      <c r="I55" s="593"/>
      <c r="N55" s="389"/>
      <c r="O55" s="389"/>
      <c r="P55" s="593"/>
      <c r="Q55" s="389"/>
      <c r="R55" s="389"/>
      <c r="S55" s="389"/>
      <c r="T55" s="389"/>
      <c r="U55" s="389"/>
      <c r="V55" s="389"/>
      <c r="W55" s="389"/>
      <c r="X55" s="389"/>
      <c r="Y55" s="389"/>
      <c r="Z55" s="389"/>
      <c r="AA55" s="389"/>
    </row>
    <row r="56" spans="1:27" s="508" customFormat="1" ht="15.75">
      <c r="A56" s="513" t="str">
        <f>+[3]dic19!A59</f>
        <v>Resultados ejercicios anteriores</v>
      </c>
      <c r="B56" s="514"/>
      <c r="C56" s="514">
        <v>46462471</v>
      </c>
      <c r="D56" s="515">
        <f t="shared" si="8"/>
        <v>-46462471</v>
      </c>
      <c r="E56" s="516">
        <f t="shared" si="9"/>
        <v>-1</v>
      </c>
      <c r="F56" s="518"/>
      <c r="G56" s="518"/>
      <c r="H56" s="849"/>
      <c r="I56" s="593"/>
      <c r="N56" s="389"/>
      <c r="O56" s="389"/>
      <c r="P56" s="389"/>
      <c r="Q56" s="389"/>
      <c r="R56" s="389"/>
      <c r="S56" s="389"/>
      <c r="T56" s="389"/>
      <c r="U56" s="389"/>
      <c r="V56" s="389"/>
      <c r="W56" s="389"/>
      <c r="X56" s="389"/>
      <c r="Y56" s="389"/>
      <c r="Z56" s="389"/>
      <c r="AA56" s="389"/>
    </row>
    <row r="57" spans="1:27" s="508" customFormat="1" ht="36.75" customHeight="1">
      <c r="A57" s="509" t="s">
        <v>9</v>
      </c>
      <c r="B57" s="536">
        <f>+B48+B46</f>
        <v>331804834</v>
      </c>
      <c r="C57" s="536">
        <f>+C48+C46</f>
        <v>318382844.44</v>
      </c>
      <c r="D57" s="536">
        <f>+D48+D46</f>
        <v>13421989.560000002</v>
      </c>
      <c r="E57" s="512">
        <f>+B57/C57-1</f>
        <v>4.2156761252660324E-2</v>
      </c>
      <c r="F57" s="536" t="e">
        <f>+F48+F46</f>
        <v>#REF!</v>
      </c>
      <c r="G57" s="536" t="e">
        <f>+G48+G46</f>
        <v>#REF!</v>
      </c>
      <c r="H57" s="849"/>
      <c r="I57" s="593"/>
      <c r="N57" s="389"/>
      <c r="O57" s="389"/>
      <c r="P57" s="389"/>
      <c r="Q57" s="389"/>
      <c r="R57" s="389"/>
      <c r="S57" s="389"/>
      <c r="T57" s="389"/>
      <c r="U57" s="389"/>
      <c r="V57" s="389"/>
      <c r="W57" s="389"/>
      <c r="X57" s="389"/>
      <c r="Y57" s="389"/>
      <c r="Z57" s="389"/>
      <c r="AA57" s="389"/>
    </row>
    <row r="58" spans="1:27" s="508" customFormat="1" ht="15.75">
      <c r="A58" s="513"/>
      <c r="B58" s="538">
        <f>+B25-B57</f>
        <v>-0.3900001049041748</v>
      </c>
      <c r="C58" s="538">
        <f>+C25-C57</f>
        <v>0.53999990224838257</v>
      </c>
      <c r="D58" s="538"/>
      <c r="F58" s="538"/>
      <c r="G58" s="538"/>
      <c r="H58" s="849"/>
      <c r="I58" s="593"/>
      <c r="N58" s="389"/>
      <c r="O58" s="389"/>
      <c r="P58" s="389"/>
      <c r="Q58" s="389"/>
      <c r="R58" s="389"/>
      <c r="S58" s="389"/>
      <c r="T58" s="389"/>
      <c r="U58" s="389"/>
      <c r="V58" s="389"/>
      <c r="W58" s="389"/>
      <c r="X58" s="389"/>
      <c r="Y58" s="389"/>
      <c r="Z58" s="389"/>
      <c r="AA58" s="389"/>
    </row>
    <row r="59" spans="1:27" s="508" customFormat="1" ht="15.75" customHeight="1">
      <c r="B59" s="539"/>
      <c r="C59" s="539"/>
      <c r="D59" s="540"/>
      <c r="F59" s="540"/>
      <c r="G59" s="540"/>
      <c r="H59" s="849"/>
      <c r="I59" s="593"/>
      <c r="N59" s="389"/>
      <c r="O59" s="389"/>
      <c r="P59" s="389"/>
      <c r="Q59" s="389"/>
      <c r="R59" s="389"/>
      <c r="S59" s="389"/>
      <c r="T59" s="389"/>
      <c r="U59" s="389"/>
      <c r="V59" s="389"/>
      <c r="W59" s="389"/>
      <c r="X59" s="389"/>
      <c r="Y59" s="389"/>
      <c r="Z59" s="389"/>
      <c r="AA59" s="389"/>
    </row>
    <row r="60" spans="1:27" s="508" customFormat="1" ht="15.75">
      <c r="B60" s="539"/>
      <c r="C60" s="539"/>
      <c r="H60" s="849"/>
      <c r="I60" s="593"/>
      <c r="N60" s="389"/>
      <c r="O60" s="389"/>
      <c r="P60" s="389"/>
      <c r="Q60" s="389"/>
      <c r="R60" s="389"/>
      <c r="S60" s="389"/>
      <c r="T60" s="389"/>
      <c r="U60" s="389"/>
      <c r="V60" s="389"/>
      <c r="W60" s="389"/>
      <c r="X60" s="389"/>
      <c r="Y60" s="389"/>
      <c r="Z60" s="389"/>
      <c r="AA60" s="389"/>
    </row>
    <row r="61" spans="1:27" s="508" customFormat="1" ht="15.75">
      <c r="A61" s="500"/>
      <c r="B61" s="500"/>
      <c r="C61" s="500"/>
      <c r="D61" s="500"/>
      <c r="H61" s="849"/>
      <c r="I61" s="593"/>
      <c r="N61" s="389"/>
      <c r="O61" s="389"/>
      <c r="P61" s="389"/>
      <c r="Q61" s="389"/>
      <c r="R61" s="389"/>
      <c r="S61" s="389"/>
      <c r="T61" s="389"/>
      <c r="U61" s="389"/>
      <c r="V61" s="389"/>
      <c r="W61" s="389"/>
      <c r="X61" s="389"/>
      <c r="Y61" s="389"/>
      <c r="Z61" s="389"/>
      <c r="AA61" s="389"/>
    </row>
    <row r="62" spans="1:27" s="508" customFormat="1" ht="15.75">
      <c r="A62" s="500"/>
      <c r="B62" s="500"/>
      <c r="C62" s="500"/>
      <c r="D62" s="500"/>
      <c r="H62" s="849"/>
      <c r="I62" s="593"/>
      <c r="N62" s="389"/>
      <c r="O62" s="389"/>
      <c r="P62" s="389"/>
      <c r="Q62" s="389"/>
      <c r="R62" s="389"/>
      <c r="S62" s="389"/>
      <c r="T62" s="389"/>
      <c r="U62" s="389"/>
      <c r="V62" s="389"/>
      <c r="W62" s="389"/>
      <c r="X62" s="389"/>
      <c r="Y62" s="389"/>
      <c r="Z62" s="389"/>
      <c r="AA62" s="389"/>
    </row>
    <row r="63" spans="1:27" s="508" customFormat="1" ht="15.75">
      <c r="B63" s="539"/>
      <c r="C63" s="539"/>
      <c r="H63" s="849"/>
      <c r="I63" s="593"/>
      <c r="N63" s="389"/>
      <c r="O63" s="389"/>
      <c r="P63" s="389"/>
      <c r="Q63" s="389"/>
      <c r="R63" s="389"/>
      <c r="S63" s="389"/>
      <c r="T63" s="389"/>
      <c r="U63" s="389"/>
      <c r="V63" s="389"/>
      <c r="W63" s="389"/>
      <c r="X63" s="389"/>
      <c r="Y63" s="389"/>
      <c r="Z63" s="389"/>
      <c r="AA63" s="389"/>
    </row>
    <row r="64" spans="1:27" s="508" customFormat="1" ht="15.75">
      <c r="A64" s="508" t="s">
        <v>367</v>
      </c>
      <c r="B64" s="508" t="s">
        <v>557</v>
      </c>
      <c r="D64" s="74" t="s">
        <v>1113</v>
      </c>
      <c r="H64" s="849"/>
      <c r="I64" s="593"/>
      <c r="N64" s="389"/>
      <c r="O64" s="389"/>
      <c r="P64" s="389"/>
      <c r="Q64" s="389"/>
      <c r="R64" s="389"/>
      <c r="S64" s="389"/>
      <c r="T64" s="389"/>
      <c r="U64" s="389"/>
      <c r="V64" s="389"/>
      <c r="W64" s="389"/>
      <c r="X64" s="389"/>
      <c r="Y64" s="389"/>
      <c r="Z64" s="389"/>
      <c r="AA64" s="389"/>
    </row>
    <row r="65" spans="1:27" s="508" customFormat="1" ht="15.75">
      <c r="A65" s="508" t="s">
        <v>559</v>
      </c>
      <c r="B65" s="508" t="s">
        <v>95</v>
      </c>
      <c r="D65" s="74" t="s">
        <v>96</v>
      </c>
      <c r="H65" s="849"/>
      <c r="I65" s="593"/>
      <c r="N65" s="389"/>
      <c r="O65" s="389"/>
      <c r="P65" s="389"/>
      <c r="Q65" s="389"/>
      <c r="R65" s="389"/>
      <c r="S65" s="389"/>
      <c r="T65" s="389"/>
      <c r="U65" s="389"/>
      <c r="V65" s="389"/>
      <c r="W65" s="389"/>
      <c r="X65" s="389"/>
      <c r="Y65" s="389"/>
      <c r="Z65" s="389"/>
      <c r="AA65" s="389"/>
    </row>
    <row r="66" spans="1:27" s="508" customFormat="1" ht="15.75">
      <c r="A66" s="508" t="s">
        <v>560</v>
      </c>
      <c r="B66" s="508" t="s">
        <v>561</v>
      </c>
      <c r="D66" s="508" t="s">
        <v>1114</v>
      </c>
      <c r="F66" s="535"/>
      <c r="G66" s="535"/>
      <c r="H66" s="849"/>
      <c r="I66" s="593"/>
      <c r="N66" s="389"/>
      <c r="O66" s="389"/>
      <c r="P66" s="389"/>
      <c r="Q66" s="389"/>
      <c r="R66" s="389"/>
      <c r="S66" s="389"/>
      <c r="T66" s="389"/>
      <c r="U66" s="389"/>
      <c r="V66" s="389"/>
      <c r="W66" s="389"/>
      <c r="X66" s="389"/>
      <c r="Y66" s="389"/>
      <c r="Z66" s="389"/>
      <c r="AA66" s="389"/>
    </row>
    <row r="67" spans="1:27" ht="15.75">
      <c r="H67" s="849"/>
      <c r="I67" s="593"/>
      <c r="N67" s="389"/>
      <c r="O67" s="389"/>
      <c r="P67" s="389"/>
      <c r="Q67" s="389"/>
      <c r="R67" s="389"/>
      <c r="S67" s="389"/>
      <c r="T67" s="389"/>
      <c r="U67" s="389"/>
      <c r="V67" s="389"/>
      <c r="W67" s="389"/>
      <c r="X67" s="389"/>
      <c r="Y67" s="389"/>
      <c r="Z67" s="389"/>
      <c r="AA67" s="389"/>
    </row>
    <row r="68" spans="1:27" ht="15.75">
      <c r="H68" s="849"/>
      <c r="I68" s="593"/>
      <c r="N68" s="389"/>
      <c r="O68" s="389"/>
      <c r="P68" s="389"/>
      <c r="Q68" s="389"/>
      <c r="R68" s="389"/>
      <c r="S68" s="389"/>
      <c r="T68" s="389"/>
      <c r="U68" s="389"/>
      <c r="V68" s="389"/>
      <c r="W68" s="389"/>
      <c r="X68" s="389"/>
      <c r="Y68" s="389"/>
      <c r="Z68" s="389"/>
      <c r="AA68" s="389"/>
    </row>
    <row r="69" spans="1:27" ht="15.75">
      <c r="H69" s="849"/>
      <c r="I69" s="593"/>
      <c r="N69" s="389"/>
      <c r="O69" s="389"/>
      <c r="P69" s="389"/>
      <c r="Q69" s="389"/>
      <c r="R69" s="389"/>
      <c r="S69" s="389"/>
      <c r="T69" s="389"/>
      <c r="U69" s="389"/>
      <c r="V69" s="389"/>
      <c r="W69" s="389"/>
      <c r="X69" s="389"/>
      <c r="Y69" s="389"/>
      <c r="Z69" s="389"/>
      <c r="AA69" s="389"/>
    </row>
    <row r="70" spans="1:27" ht="15.75">
      <c r="H70" s="849"/>
      <c r="I70" s="593"/>
      <c r="N70" s="389"/>
      <c r="O70" s="389"/>
      <c r="P70" s="389"/>
      <c r="Q70" s="389"/>
      <c r="R70" s="389"/>
      <c r="S70" s="389"/>
      <c r="T70" s="389"/>
      <c r="U70" s="389"/>
      <c r="V70" s="389"/>
      <c r="W70" s="389"/>
      <c r="X70" s="389"/>
      <c r="Y70" s="389"/>
      <c r="Z70" s="389"/>
      <c r="AA70" s="389"/>
    </row>
    <row r="71" spans="1:27">
      <c r="N71" s="514"/>
      <c r="O71" s="514"/>
      <c r="P71" s="514"/>
      <c r="Q71" s="514"/>
      <c r="R71" s="514"/>
      <c r="S71" s="514"/>
      <c r="T71" s="514"/>
      <c r="U71" s="514"/>
      <c r="V71" s="514"/>
      <c r="W71" s="514"/>
      <c r="X71" s="514"/>
      <c r="Y71" s="514"/>
      <c r="Z71" s="514"/>
      <c r="AA71" s="514"/>
    </row>
    <row r="72" spans="1:27">
      <c r="N72" s="514"/>
      <c r="O72" s="514"/>
      <c r="P72" s="514"/>
      <c r="Q72" s="514"/>
      <c r="R72" s="514"/>
      <c r="S72" s="514"/>
      <c r="T72" s="514"/>
      <c r="U72" s="514"/>
      <c r="V72" s="514"/>
      <c r="W72" s="514"/>
      <c r="X72" s="514"/>
      <c r="Y72" s="514"/>
      <c r="Z72" s="514"/>
      <c r="AA72" s="514"/>
    </row>
    <row r="78" spans="1:27">
      <c r="B78" s="541"/>
      <c r="C78" s="541"/>
    </row>
    <row r="79" spans="1:27">
      <c r="B79" s="542"/>
      <c r="C79" s="542"/>
    </row>
  </sheetData>
  <mergeCells count="2">
    <mergeCell ref="A3:E3"/>
    <mergeCell ref="A4:E4"/>
  </mergeCells>
  <printOptions horizontalCentered="1" verticalCentered="1"/>
  <pageMargins left="0.70866141732283472" right="0.70866141732283472" top="0.74803149606299213" bottom="0.74803149606299213" header="0.31496062992125984" footer="0.31496062992125984"/>
  <pageSetup scale="71" orientation="portrait" horizontalDpi="4294967294" verticalDpi="144"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233"/>
  <sheetViews>
    <sheetView zoomScaleNormal="100" workbookViewId="0">
      <pane xSplit="2" ySplit="5" topLeftCell="C41" activePane="bottomRight" state="frozen"/>
      <selection pane="topRight" activeCell="C1" sqref="C1"/>
      <selection pane="bottomLeft" activeCell="A6" sqref="A6"/>
      <selection pane="bottomRight" activeCell="E74" sqref="E74"/>
    </sheetView>
  </sheetViews>
  <sheetFormatPr baseColWidth="10" defaultColWidth="13.28515625" defaultRowHeight="13.5" customHeight="1"/>
  <cols>
    <col min="1" max="1" width="10.140625" style="7" bestFit="1" customWidth="1"/>
    <col min="2" max="2" width="46" style="7" customWidth="1"/>
    <col min="3" max="8" width="13.28515625" style="7" customWidth="1"/>
    <col min="9" max="14" width="13.28515625" style="7" hidden="1" customWidth="1"/>
    <col min="15" max="15" width="13.85546875" style="7" bestFit="1" customWidth="1"/>
    <col min="16" max="20" width="13.85546875" style="7" customWidth="1"/>
    <col min="21" max="25" width="13.28515625" style="7" customWidth="1"/>
    <col min="26" max="26" width="13.28515625" style="2" customWidth="1"/>
    <col min="27" max="49" width="13.28515625" style="101" customWidth="1"/>
    <col min="50" max="52" width="13.28515625" style="2" customWidth="1"/>
    <col min="53" max="53" width="13.85546875" style="2" customWidth="1"/>
    <col min="54" max="54" width="13.28515625" style="2" customWidth="1"/>
    <col min="55" max="55" width="13.85546875" style="2" customWidth="1"/>
    <col min="56" max="58" width="13.28515625" style="2" customWidth="1"/>
    <col min="59" max="59" width="13.85546875" style="2" bestFit="1" customWidth="1"/>
    <col min="60" max="66" width="13.28515625" style="2" customWidth="1"/>
    <col min="67" max="67" width="15.42578125" style="2" customWidth="1"/>
    <col min="68" max="68" width="13.28515625" style="2" customWidth="1"/>
    <col min="69" max="69" width="16.5703125" style="2" customWidth="1"/>
    <col min="70" max="70" width="13.28515625" style="2"/>
    <col min="71" max="71" width="14.5703125" style="2" customWidth="1"/>
    <col min="72" max="16384" width="13.28515625" style="2"/>
  </cols>
  <sheetData>
    <row r="1" spans="1:49" ht="13.5" customHeight="1">
      <c r="A1" s="30"/>
      <c r="B1" s="859" t="s">
        <v>18</v>
      </c>
      <c r="C1" s="859"/>
      <c r="D1" s="859"/>
      <c r="E1" s="859"/>
      <c r="F1" s="859"/>
      <c r="G1" s="859"/>
      <c r="H1" s="859"/>
      <c r="I1" s="859"/>
      <c r="J1" s="859"/>
      <c r="K1" s="859"/>
      <c r="L1" s="859"/>
      <c r="M1" s="859"/>
      <c r="N1" s="859"/>
      <c r="O1" s="859"/>
      <c r="P1" s="484"/>
      <c r="Q1" s="482"/>
      <c r="R1" s="482"/>
      <c r="S1" s="482"/>
      <c r="T1" s="482"/>
      <c r="U1" s="466"/>
      <c r="V1" s="466"/>
      <c r="W1" s="466"/>
      <c r="X1" s="466"/>
      <c r="Y1" s="466"/>
    </row>
    <row r="2" spans="1:49" ht="13.5" customHeight="1">
      <c r="A2" s="30"/>
      <c r="B2" s="860" t="s">
        <v>25</v>
      </c>
      <c r="C2" s="860"/>
      <c r="D2" s="860"/>
      <c r="E2" s="860"/>
      <c r="F2" s="860"/>
      <c r="G2" s="860"/>
      <c r="H2" s="860"/>
      <c r="I2" s="860"/>
      <c r="J2" s="860"/>
      <c r="K2" s="860"/>
      <c r="L2" s="860"/>
      <c r="M2" s="860"/>
      <c r="N2" s="860"/>
      <c r="O2" s="860"/>
      <c r="P2" s="485"/>
      <c r="Q2" s="483"/>
      <c r="R2" s="483"/>
      <c r="S2" s="483"/>
      <c r="T2" s="483"/>
      <c r="U2" s="467"/>
      <c r="V2" s="467"/>
      <c r="W2" s="467"/>
      <c r="X2" s="467"/>
      <c r="Y2" s="467"/>
    </row>
    <row r="3" spans="1:49" ht="13.5" customHeight="1">
      <c r="A3" s="30"/>
      <c r="B3" s="860" t="s">
        <v>535</v>
      </c>
      <c r="C3" s="860"/>
      <c r="D3" s="860"/>
      <c r="E3" s="860"/>
      <c r="F3" s="860"/>
      <c r="G3" s="860"/>
      <c r="H3" s="860"/>
      <c r="I3" s="860"/>
      <c r="J3" s="860"/>
      <c r="K3" s="860"/>
      <c r="L3" s="860"/>
      <c r="M3" s="860"/>
      <c r="N3" s="860"/>
      <c r="O3" s="860"/>
      <c r="P3" s="485"/>
      <c r="Q3" s="483"/>
      <c r="R3" s="483"/>
      <c r="S3" s="483"/>
      <c r="T3" s="483"/>
      <c r="U3" s="467"/>
      <c r="V3" s="467"/>
      <c r="W3" s="467"/>
      <c r="X3" s="467"/>
      <c r="Y3" s="467"/>
    </row>
    <row r="4" spans="1:49" ht="13.5" customHeight="1">
      <c r="A4" s="30"/>
      <c r="B4" s="30"/>
      <c r="C4" s="31"/>
      <c r="D4" s="31"/>
      <c r="E4" s="31"/>
      <c r="F4" s="31"/>
      <c r="G4" s="31"/>
      <c r="H4" s="31"/>
      <c r="I4" s="31"/>
    </row>
    <row r="5" spans="1:49" ht="13.5" customHeight="1">
      <c r="A5" s="30"/>
      <c r="C5" s="8">
        <v>43831</v>
      </c>
      <c r="D5" s="8">
        <f>+C5+31</f>
        <v>43862</v>
      </c>
      <c r="E5" s="8">
        <f t="shared" ref="E5:N5" si="0">+D5+31</f>
        <v>43893</v>
      </c>
      <c r="F5" s="8">
        <f t="shared" si="0"/>
        <v>43924</v>
      </c>
      <c r="G5" s="8">
        <f t="shared" si="0"/>
        <v>43955</v>
      </c>
      <c r="H5" s="8">
        <f t="shared" si="0"/>
        <v>43986</v>
      </c>
      <c r="I5" s="8">
        <f t="shared" si="0"/>
        <v>44017</v>
      </c>
      <c r="J5" s="8">
        <f t="shared" si="0"/>
        <v>44048</v>
      </c>
      <c r="K5" s="8">
        <f t="shared" si="0"/>
        <v>44079</v>
      </c>
      <c r="L5" s="8">
        <f t="shared" si="0"/>
        <v>44110</v>
      </c>
      <c r="M5" s="8">
        <f t="shared" si="0"/>
        <v>44141</v>
      </c>
      <c r="N5" s="8">
        <f t="shared" si="0"/>
        <v>44172</v>
      </c>
      <c r="O5" s="10" t="s">
        <v>29</v>
      </c>
      <c r="P5" s="10"/>
      <c r="Q5" s="10"/>
      <c r="R5" s="10"/>
      <c r="S5" s="10"/>
      <c r="T5" s="10"/>
      <c r="U5" s="10"/>
      <c r="V5" s="10"/>
      <c r="W5" s="10"/>
      <c r="X5" s="10"/>
      <c r="Y5" s="10"/>
    </row>
    <row r="6" spans="1:49" ht="13.5" customHeight="1">
      <c r="A6" s="30"/>
      <c r="O6" s="32"/>
      <c r="P6" s="32"/>
      <c r="Q6" s="32"/>
      <c r="R6" s="32"/>
      <c r="S6" s="32"/>
      <c r="T6" s="32"/>
      <c r="U6" s="32"/>
      <c r="V6" s="32"/>
      <c r="W6" s="32"/>
      <c r="X6" s="32"/>
      <c r="Y6" s="32"/>
    </row>
    <row r="7" spans="1:49" ht="13.5" customHeight="1">
      <c r="A7" s="30"/>
      <c r="B7" s="33" t="s">
        <v>26</v>
      </c>
      <c r="C7" s="9">
        <f t="shared" ref="C7:O7" si="1">SUM(C8:C10)</f>
        <v>144886024</v>
      </c>
      <c r="D7" s="9">
        <f t="shared" si="1"/>
        <v>159484742</v>
      </c>
      <c r="E7" s="9">
        <f t="shared" si="1"/>
        <v>186588219</v>
      </c>
      <c r="F7" s="9">
        <f t="shared" si="1"/>
        <v>173312164</v>
      </c>
      <c r="G7" s="9">
        <f t="shared" si="1"/>
        <v>185982606</v>
      </c>
      <c r="H7" s="9">
        <f t="shared" si="1"/>
        <v>237662735</v>
      </c>
      <c r="I7" s="9">
        <f t="shared" si="1"/>
        <v>0</v>
      </c>
      <c r="J7" s="9">
        <f t="shared" si="1"/>
        <v>0</v>
      </c>
      <c r="K7" s="9">
        <f t="shared" si="1"/>
        <v>0</v>
      </c>
      <c r="L7" s="9">
        <f t="shared" si="1"/>
        <v>0</v>
      </c>
      <c r="M7" s="9">
        <f t="shared" si="1"/>
        <v>0</v>
      </c>
      <c r="N7" s="9">
        <f t="shared" si="1"/>
        <v>0</v>
      </c>
      <c r="O7" s="9">
        <f t="shared" si="1"/>
        <v>144886024</v>
      </c>
      <c r="P7" s="469"/>
      <c r="Q7" s="469"/>
      <c r="R7" s="469"/>
      <c r="S7" s="469"/>
      <c r="T7" s="469"/>
      <c r="U7" s="469"/>
      <c r="V7" s="469"/>
      <c r="W7" s="469"/>
      <c r="X7" s="469"/>
      <c r="Y7" s="469"/>
      <c r="AA7" s="102"/>
      <c r="AB7" s="102"/>
      <c r="AC7" s="102"/>
      <c r="AD7" s="102"/>
      <c r="AE7" s="102"/>
      <c r="AF7" s="102"/>
      <c r="AG7" s="102"/>
      <c r="AH7" s="102"/>
      <c r="AI7" s="102"/>
      <c r="AJ7" s="102"/>
      <c r="AK7" s="102"/>
      <c r="AL7" s="102"/>
      <c r="AM7" s="102"/>
      <c r="AN7" s="102"/>
      <c r="AO7" s="102"/>
      <c r="AP7" s="102"/>
      <c r="AQ7" s="102"/>
      <c r="AR7" s="102"/>
      <c r="AS7" s="102"/>
      <c r="AT7" s="102"/>
      <c r="AU7" s="102"/>
      <c r="AV7" s="102"/>
    </row>
    <row r="8" spans="1:49" ht="13.5" customHeight="1">
      <c r="A8" s="30"/>
      <c r="B8" s="7" t="s">
        <v>27</v>
      </c>
      <c r="C8" s="16">
        <v>600000</v>
      </c>
      <c r="D8" s="13">
        <f>+C63</f>
        <v>600000</v>
      </c>
      <c r="E8" s="13">
        <f>+D63</f>
        <v>600000</v>
      </c>
      <c r="F8" s="13">
        <f>+E63</f>
        <v>600000</v>
      </c>
      <c r="G8" s="13">
        <f>+F63</f>
        <v>600000</v>
      </c>
      <c r="H8" s="13">
        <f>+G63</f>
        <v>600000</v>
      </c>
      <c r="I8" s="13"/>
      <c r="J8" s="13"/>
      <c r="K8" s="13"/>
      <c r="L8" s="13"/>
      <c r="M8" s="13"/>
      <c r="N8" s="13"/>
      <c r="O8" s="10">
        <f>+C8</f>
        <v>600000</v>
      </c>
      <c r="P8" s="10"/>
      <c r="Q8" s="10"/>
      <c r="R8" s="10"/>
      <c r="S8" s="10"/>
      <c r="T8" s="10"/>
      <c r="U8" s="10"/>
      <c r="V8" s="10"/>
      <c r="W8" s="10"/>
      <c r="X8" s="10"/>
      <c r="Y8" s="10"/>
    </row>
    <row r="9" spans="1:49" ht="13.5" customHeight="1">
      <c r="A9" s="30"/>
      <c r="B9" s="7" t="s">
        <v>28</v>
      </c>
      <c r="C9" s="16">
        <v>126533836</v>
      </c>
      <c r="D9" s="13">
        <f t="shared" ref="D9:H10" si="2">+C64</f>
        <v>141065452</v>
      </c>
      <c r="E9" s="13">
        <f t="shared" si="2"/>
        <v>168122055</v>
      </c>
      <c r="F9" s="13">
        <f t="shared" si="2"/>
        <v>171846000</v>
      </c>
      <c r="G9" s="13">
        <f t="shared" si="2"/>
        <v>184659901</v>
      </c>
      <c r="H9" s="13">
        <f t="shared" si="2"/>
        <v>236334433</v>
      </c>
      <c r="I9" s="13"/>
      <c r="J9" s="13"/>
      <c r="K9" s="13"/>
      <c r="L9" s="13"/>
      <c r="M9" s="13"/>
      <c r="N9" s="13"/>
      <c r="O9" s="28">
        <f>+C9</f>
        <v>126533836</v>
      </c>
      <c r="P9" s="28"/>
      <c r="Q9" s="28"/>
      <c r="R9" s="28"/>
      <c r="S9" s="28"/>
      <c r="T9" s="28"/>
      <c r="U9" s="28"/>
      <c r="V9" s="28"/>
      <c r="W9" s="28"/>
      <c r="X9" s="28"/>
      <c r="Y9" s="28"/>
    </row>
    <row r="10" spans="1:49" ht="13.5" customHeight="1">
      <c r="A10" s="30"/>
      <c r="B10" s="7" t="s">
        <v>621</v>
      </c>
      <c r="C10" s="16">
        <v>17752188</v>
      </c>
      <c r="D10" s="13">
        <f t="shared" si="2"/>
        <v>17819290</v>
      </c>
      <c r="E10" s="13">
        <f t="shared" si="2"/>
        <v>17866164</v>
      </c>
      <c r="F10" s="13">
        <f t="shared" si="2"/>
        <v>866164</v>
      </c>
      <c r="G10" s="13">
        <f t="shared" si="2"/>
        <v>722705</v>
      </c>
      <c r="H10" s="13">
        <f t="shared" si="2"/>
        <v>728302</v>
      </c>
      <c r="I10" s="13"/>
      <c r="J10" s="13"/>
      <c r="K10" s="13"/>
      <c r="L10" s="13"/>
      <c r="M10" s="13"/>
      <c r="N10" s="13"/>
      <c r="O10" s="28">
        <f>+C10</f>
        <v>17752188</v>
      </c>
      <c r="P10" s="28"/>
      <c r="Q10" s="8"/>
      <c r="R10" s="8"/>
      <c r="S10" s="8"/>
      <c r="T10" s="8"/>
      <c r="U10" s="28"/>
      <c r="V10" s="28"/>
      <c r="W10" s="28"/>
      <c r="X10" s="28"/>
      <c r="Y10" s="28"/>
    </row>
    <row r="11" spans="1:49" ht="13.5" customHeight="1" thickBot="1">
      <c r="A11" s="30"/>
      <c r="E11" s="34"/>
      <c r="G11" s="10"/>
      <c r="H11" s="10"/>
      <c r="I11" s="10"/>
      <c r="J11" s="10"/>
      <c r="K11" s="10"/>
      <c r="L11" s="10"/>
      <c r="M11" s="10"/>
      <c r="N11" s="10"/>
      <c r="O11" s="10" t="s">
        <v>29</v>
      </c>
      <c r="P11" s="10"/>
      <c r="Q11" s="10"/>
      <c r="R11" s="44"/>
      <c r="S11" s="10"/>
      <c r="T11" s="10"/>
      <c r="U11" s="10"/>
      <c r="V11" s="10"/>
      <c r="W11" s="10"/>
      <c r="X11" s="10"/>
      <c r="Y11" s="10"/>
    </row>
    <row r="12" spans="1:49" ht="13.5" customHeight="1" thickBot="1">
      <c r="A12" s="30"/>
      <c r="B12" s="441" t="s">
        <v>11</v>
      </c>
      <c r="C12" s="442">
        <f t="shared" ref="C12:O12" si="3">SUM(C13:C33)</f>
        <v>86526283</v>
      </c>
      <c r="D12" s="442">
        <f t="shared" si="3"/>
        <v>116342172</v>
      </c>
      <c r="E12" s="442">
        <f t="shared" si="3"/>
        <v>84994210</v>
      </c>
      <c r="F12" s="442">
        <f t="shared" si="3"/>
        <v>79678053</v>
      </c>
      <c r="G12" s="442">
        <f t="shared" si="3"/>
        <v>84821948</v>
      </c>
      <c r="H12" s="442">
        <f t="shared" si="3"/>
        <v>90929149</v>
      </c>
      <c r="I12" s="442">
        <f t="shared" si="3"/>
        <v>0</v>
      </c>
      <c r="J12" s="442">
        <f t="shared" si="3"/>
        <v>0</v>
      </c>
      <c r="K12" s="442">
        <f t="shared" si="3"/>
        <v>0</v>
      </c>
      <c r="L12" s="442">
        <f t="shared" si="3"/>
        <v>0</v>
      </c>
      <c r="M12" s="442">
        <f t="shared" si="3"/>
        <v>0</v>
      </c>
      <c r="N12" s="442">
        <f t="shared" si="3"/>
        <v>0</v>
      </c>
      <c r="O12" s="443">
        <f t="shared" si="3"/>
        <v>543291815</v>
      </c>
      <c r="P12" s="469"/>
      <c r="Q12" s="469"/>
      <c r="R12" s="469"/>
      <c r="S12" s="469"/>
      <c r="T12" s="469"/>
      <c r="U12" s="469"/>
      <c r="V12" s="469"/>
      <c r="W12" s="469"/>
      <c r="X12" s="469"/>
      <c r="Y12" s="469"/>
      <c r="AW12" s="104"/>
    </row>
    <row r="13" spans="1:49" ht="13.5" customHeight="1">
      <c r="A13" s="30"/>
      <c r="B13" s="546" t="s">
        <v>30</v>
      </c>
      <c r="C13" s="10">
        <v>85955700</v>
      </c>
      <c r="D13" s="44">
        <v>84016584</v>
      </c>
      <c r="E13" s="10">
        <f>85201600-264700</f>
        <v>84936900</v>
      </c>
      <c r="F13" s="10">
        <v>81302400</v>
      </c>
      <c r="G13" s="10">
        <v>79393000</v>
      </c>
      <c r="H13" s="10">
        <v>81696850</v>
      </c>
      <c r="I13" s="10"/>
      <c r="J13" s="10"/>
      <c r="K13" s="10"/>
      <c r="L13" s="10"/>
      <c r="M13" s="10"/>
      <c r="N13" s="10"/>
      <c r="O13" s="10">
        <f>SUM(C13:N13)</f>
        <v>497301434</v>
      </c>
      <c r="P13" s="10"/>
      <c r="Q13" s="10"/>
      <c r="R13" s="10"/>
      <c r="S13" s="10"/>
      <c r="T13" s="10"/>
      <c r="U13" s="10"/>
      <c r="V13" s="10"/>
      <c r="W13" s="10"/>
      <c r="X13" s="10"/>
      <c r="Y13" s="10"/>
    </row>
    <row r="14" spans="1:49" ht="13.5" customHeight="1">
      <c r="A14" s="30"/>
      <c r="B14" s="546" t="s">
        <v>31</v>
      </c>
      <c r="C14" s="10"/>
      <c r="D14" s="44">
        <v>3925300</v>
      </c>
      <c r="E14" s="10">
        <v>4943284</v>
      </c>
      <c r="F14" s="10">
        <v>5047550</v>
      </c>
      <c r="G14" s="10">
        <v>8246600</v>
      </c>
      <c r="H14" s="10">
        <v>13723300</v>
      </c>
      <c r="I14" s="10"/>
      <c r="J14" s="10"/>
      <c r="K14" s="10"/>
      <c r="L14" s="10"/>
      <c r="M14" s="10"/>
      <c r="N14" s="10"/>
      <c r="O14" s="10">
        <f t="shared" ref="O14:O33" si="4">SUM(C14:N14)</f>
        <v>35886034</v>
      </c>
      <c r="P14" s="392" t="s">
        <v>526</v>
      </c>
      <c r="Q14" s="392" t="s">
        <v>565</v>
      </c>
      <c r="R14" s="392" t="s">
        <v>569</v>
      </c>
      <c r="S14" s="392" t="s">
        <v>566</v>
      </c>
      <c r="T14" s="479" t="s">
        <v>567</v>
      </c>
      <c r="U14" s="392" t="s">
        <v>528</v>
      </c>
      <c r="V14" s="392" t="s">
        <v>529</v>
      </c>
      <c r="W14" s="392" t="s">
        <v>530</v>
      </c>
      <c r="X14" s="392" t="s">
        <v>531</v>
      </c>
      <c r="Y14" s="393" t="s">
        <v>532</v>
      </c>
      <c r="Z14" s="468" t="s">
        <v>1095</v>
      </c>
      <c r="AA14" s="468" t="s">
        <v>1096</v>
      </c>
      <c r="AB14" s="468" t="s">
        <v>1097</v>
      </c>
      <c r="AC14" s="436" t="s">
        <v>533</v>
      </c>
      <c r="AD14" s="103"/>
      <c r="AE14" s="436"/>
      <c r="AF14" s="436"/>
      <c r="AG14" s="436"/>
      <c r="AH14" s="436"/>
      <c r="AI14" s="436"/>
      <c r="AJ14" s="436"/>
      <c r="AK14" s="436"/>
      <c r="AL14" s="436"/>
      <c r="AM14" s="436"/>
      <c r="AN14" s="436"/>
      <c r="AO14" s="103"/>
      <c r="AP14" s="103"/>
      <c r="AQ14" s="103"/>
      <c r="AR14" s="103"/>
      <c r="AS14" s="103"/>
      <c r="AT14" s="103"/>
      <c r="AU14" s="103"/>
      <c r="AV14" s="103"/>
    </row>
    <row r="15" spans="1:49" ht="13.5" customHeight="1">
      <c r="A15" s="30"/>
      <c r="B15" s="546" t="s">
        <v>32</v>
      </c>
      <c r="C15" s="10">
        <f>5650430-5076414</f>
        <v>574016</v>
      </c>
      <c r="D15" s="13">
        <f>5803070-5281430</f>
        <v>521640</v>
      </c>
      <c r="E15" s="10">
        <f>4735080-5422270</f>
        <v>-687190</v>
      </c>
      <c r="F15" s="10">
        <f>4885640-4638879</f>
        <v>246761</v>
      </c>
      <c r="G15" s="10">
        <f>4920550-5163090</f>
        <v>-242540</v>
      </c>
      <c r="H15" s="10">
        <f>5351010-3984050</f>
        <v>1366960</v>
      </c>
      <c r="I15" s="10"/>
      <c r="J15" s="10"/>
      <c r="K15" s="10"/>
      <c r="L15" s="10"/>
      <c r="M15" s="10"/>
      <c r="N15" s="10"/>
      <c r="O15" s="10">
        <f t="shared" si="4"/>
        <v>1779647</v>
      </c>
      <c r="P15" s="10"/>
      <c r="Q15" s="10"/>
      <c r="R15" s="10"/>
      <c r="S15" s="10"/>
      <c r="T15" s="10"/>
      <c r="U15" s="10"/>
      <c r="V15" s="10"/>
      <c r="W15" s="10"/>
      <c r="X15" s="10"/>
    </row>
    <row r="16" spans="1:49" ht="13.5" customHeight="1">
      <c r="A16" s="30"/>
      <c r="B16" s="546" t="s">
        <v>33</v>
      </c>
      <c r="C16" s="10">
        <f>-7940100-36000</f>
        <v>-7976100</v>
      </c>
      <c r="D16" s="44">
        <v>-7663100</v>
      </c>
      <c r="E16" s="10">
        <f>-7933950-87000</f>
        <v>-8020950</v>
      </c>
      <c r="F16" s="10">
        <v>-8151050</v>
      </c>
      <c r="G16" s="10">
        <f>-8218400-217500</f>
        <v>-8435900</v>
      </c>
      <c r="H16" s="10">
        <v>-8951500</v>
      </c>
      <c r="I16" s="10"/>
      <c r="J16" s="10"/>
      <c r="K16" s="12"/>
      <c r="L16" s="12"/>
      <c r="M16" s="12"/>
      <c r="N16" s="10"/>
      <c r="O16" s="10">
        <f t="shared" si="4"/>
        <v>-49198600</v>
      </c>
      <c r="P16" s="492" t="s">
        <v>484</v>
      </c>
      <c r="Q16" s="493">
        <f>SUM(EJEC!D9:D15)</f>
        <v>4038372.42</v>
      </c>
      <c r="R16" s="493">
        <f>SUM(EJEC!E9:E15)</f>
        <v>21148321</v>
      </c>
      <c r="S16" s="493">
        <f>SUM(EJEC!F9:F15)</f>
        <v>1795989</v>
      </c>
      <c r="T16" s="493">
        <f>SUM(EJEC!G9:G15)</f>
        <v>1420641</v>
      </c>
      <c r="U16" s="493">
        <f>SUM(EJEC!H9:H15)</f>
        <v>1476347.67</v>
      </c>
      <c r="V16" s="493">
        <f>SUM(EJEC!I9:I15)</f>
        <v>1842836.63</v>
      </c>
      <c r="W16" s="493">
        <f>SUM(EJEC!J9:J15)</f>
        <v>0</v>
      </c>
      <c r="X16" s="493">
        <f>SUM(EJEC!K9:K15)</f>
        <v>0</v>
      </c>
      <c r="Y16" s="493">
        <f>SUM(EJEC!L9:L15)</f>
        <v>0</v>
      </c>
      <c r="Z16" s="493">
        <f>SUM(EJEC!M9:M15)</f>
        <v>0</v>
      </c>
      <c r="AA16" s="493">
        <f>SUM(EJEC!N9:N15)</f>
        <v>0</v>
      </c>
      <c r="AB16" s="493">
        <f>SUM(EJEC!O9:O15)</f>
        <v>0</v>
      </c>
      <c r="AC16" s="493">
        <f>SUM(Q16:AB16)</f>
        <v>31722507.720000003</v>
      </c>
    </row>
    <row r="17" spans="2:67" ht="13.5" customHeight="1">
      <c r="B17" s="546" t="s">
        <v>34</v>
      </c>
      <c r="C17" s="10">
        <f>257600+200</f>
        <v>257800</v>
      </c>
      <c r="D17" s="13">
        <f>112100+426600+21300</f>
        <v>560000</v>
      </c>
      <c r="E17" s="10">
        <f>143000+54800+4700</f>
        <v>202500</v>
      </c>
      <c r="F17" s="10">
        <f>124500+16100</f>
        <v>140600</v>
      </c>
      <c r="G17" s="10">
        <v>398000</v>
      </c>
      <c r="H17" s="10">
        <v>68400</v>
      </c>
      <c r="I17" s="10"/>
      <c r="J17" s="10"/>
      <c r="K17" s="10"/>
      <c r="L17" s="10"/>
      <c r="M17" s="10"/>
      <c r="N17" s="10"/>
      <c r="O17" s="10">
        <f t="shared" si="4"/>
        <v>1627300</v>
      </c>
      <c r="P17" s="494" t="s">
        <v>534</v>
      </c>
      <c r="Q17" s="495">
        <f>+C17+C18+C19+C20+C21+C23</f>
        <v>3001402</v>
      </c>
      <c r="R17" s="495">
        <f>+D17+D18+D19+D20+D21+D23+D32+D31+12792560</f>
        <v>24290258</v>
      </c>
      <c r="S17" s="495">
        <f>+E17+E18+E19+E20+E21+E23+E32+E31</f>
        <v>2791100</v>
      </c>
      <c r="T17" s="495">
        <f>+F17+F18+F19+F20+F21+F23+F32</f>
        <v>1232392</v>
      </c>
      <c r="U17" s="495">
        <f>+G17+G18+G19+G20+G21+G23+G32</f>
        <v>1423098</v>
      </c>
      <c r="V17" s="495">
        <f>+H17+H18+H19+H20+H21+H23+H32</f>
        <v>2162142</v>
      </c>
      <c r="W17" s="495">
        <f t="shared" ref="W17:AB17" si="5">+I17+I18+I19+I20+I21+I23+I32+I31</f>
        <v>0</v>
      </c>
      <c r="X17" s="495">
        <f t="shared" si="5"/>
        <v>0</v>
      </c>
      <c r="Y17" s="495">
        <f t="shared" si="5"/>
        <v>0</v>
      </c>
      <c r="Z17" s="495">
        <f t="shared" si="5"/>
        <v>0</v>
      </c>
      <c r="AA17" s="495">
        <f t="shared" si="5"/>
        <v>0</v>
      </c>
      <c r="AB17" s="495">
        <f t="shared" si="5"/>
        <v>0</v>
      </c>
      <c r="AC17" s="496">
        <f>SUM(Q17:AB17)</f>
        <v>34900392</v>
      </c>
      <c r="AD17" s="424">
        <f>+AC16/AC17</f>
        <v>0.90894416658701149</v>
      </c>
    </row>
    <row r="18" spans="2:67" ht="13.5" customHeight="1" thickBot="1">
      <c r="B18" s="546" t="s">
        <v>35</v>
      </c>
      <c r="C18" s="10">
        <f>1072500</f>
        <v>1072500</v>
      </c>
      <c r="D18" s="13">
        <v>907500</v>
      </c>
      <c r="E18" s="10">
        <f>1155500+165000</f>
        <v>1320500</v>
      </c>
      <c r="F18" s="10">
        <v>992500</v>
      </c>
      <c r="G18" s="10">
        <f>742500+165000</f>
        <v>907500</v>
      </c>
      <c r="H18" s="10">
        <f>1155000+330000</f>
        <v>1485000</v>
      </c>
      <c r="I18" s="10"/>
      <c r="J18" s="10"/>
      <c r="K18" s="10"/>
      <c r="L18" s="10"/>
      <c r="M18" s="10"/>
      <c r="N18" s="10"/>
      <c r="O18" s="10">
        <f t="shared" si="4"/>
        <v>6685500</v>
      </c>
      <c r="P18" s="10"/>
      <c r="Q18" s="10"/>
      <c r="R18" s="10"/>
      <c r="S18" s="10"/>
      <c r="T18" s="10"/>
      <c r="U18" s="10"/>
      <c r="V18" s="10"/>
      <c r="W18" s="10"/>
      <c r="X18" s="10"/>
      <c r="Y18" s="10"/>
    </row>
    <row r="19" spans="2:67" ht="13.5" customHeight="1">
      <c r="B19" s="546" t="s">
        <v>147</v>
      </c>
      <c r="C19" s="10">
        <v>812000</v>
      </c>
      <c r="D19" s="13">
        <f>73000+1180000</f>
        <v>1253000</v>
      </c>
      <c r="E19" s="10">
        <f>504000+95000</f>
        <v>599000</v>
      </c>
      <c r="F19" s="10">
        <f>98000+62000</f>
        <v>160000</v>
      </c>
      <c r="G19" s="10">
        <v>112000</v>
      </c>
      <c r="H19" s="10">
        <f>448000+158000</f>
        <v>606000</v>
      </c>
      <c r="I19" s="10"/>
      <c r="J19" s="10"/>
      <c r="K19" s="10"/>
      <c r="L19" s="10"/>
      <c r="M19" s="10"/>
      <c r="N19" s="10"/>
      <c r="O19" s="10">
        <f t="shared" si="4"/>
        <v>3542000</v>
      </c>
      <c r="P19" s="10"/>
      <c r="Q19" s="392"/>
      <c r="W19" s="486"/>
      <c r="X19" s="487"/>
      <c r="Y19" s="488"/>
      <c r="Z19" s="10"/>
      <c r="AA19" s="10"/>
      <c r="AB19" s="10"/>
      <c r="AN19" s="10">
        <v>12792560</v>
      </c>
      <c r="AO19" s="392" t="s">
        <v>704</v>
      </c>
      <c r="AP19" s="10"/>
      <c r="AQ19" s="10"/>
      <c r="AR19" s="10"/>
    </row>
    <row r="20" spans="2:67" ht="13.5" customHeight="1" thickBot="1">
      <c r="B20" s="546" t="s">
        <v>682</v>
      </c>
      <c r="C20" s="10">
        <f>602000</f>
        <v>602000</v>
      </c>
      <c r="D20" s="13">
        <v>678000</v>
      </c>
      <c r="E20" s="10">
        <v>177750</v>
      </c>
      <c r="F20" s="10">
        <v>82750</v>
      </c>
      <c r="G20" s="10"/>
      <c r="H20" s="10"/>
      <c r="I20" s="13"/>
      <c r="J20" s="10"/>
      <c r="K20" s="10"/>
      <c r="L20" s="10"/>
      <c r="M20" s="10"/>
      <c r="N20" s="10"/>
      <c r="O20" s="10">
        <f t="shared" si="4"/>
        <v>1540500</v>
      </c>
      <c r="P20" s="10"/>
      <c r="Q20" s="10"/>
      <c r="W20" s="489"/>
      <c r="X20" s="490"/>
      <c r="Y20" s="491"/>
      <c r="Z20" s="424"/>
      <c r="AD20" s="424"/>
      <c r="AN20" s="549">
        <f>+R34</f>
        <v>0</v>
      </c>
      <c r="AO20" s="392" t="s">
        <v>683</v>
      </c>
      <c r="AP20" s="10"/>
      <c r="AQ20" s="10"/>
      <c r="AR20" s="10"/>
    </row>
    <row r="21" spans="2:67" ht="13.5" customHeight="1">
      <c r="B21" s="546" t="s">
        <v>36</v>
      </c>
      <c r="C21" s="10">
        <v>190000</v>
      </c>
      <c r="D21" s="13">
        <v>395000</v>
      </c>
      <c r="E21" s="35">
        <v>125000</v>
      </c>
      <c r="F21" s="35"/>
      <c r="G21" s="10"/>
      <c r="H21" s="10"/>
      <c r="I21" s="10"/>
      <c r="J21" s="10"/>
      <c r="K21" s="10"/>
      <c r="L21" s="10"/>
      <c r="M21" s="10"/>
      <c r="N21" s="10"/>
      <c r="O21" s="10">
        <f>SUM(C21:N21)</f>
        <v>710000</v>
      </c>
      <c r="P21" s="10"/>
      <c r="Q21" s="10"/>
      <c r="W21" s="10"/>
      <c r="X21" s="10"/>
      <c r="Y21" s="10"/>
      <c r="Z21" s="10"/>
      <c r="AA21" s="10"/>
      <c r="AB21" s="10"/>
      <c r="AN21" s="10">
        <f>+AN19+AN20</f>
        <v>12792560</v>
      </c>
      <c r="AO21" s="392"/>
      <c r="AP21" s="10"/>
      <c r="AQ21" s="10"/>
      <c r="AR21" s="10"/>
    </row>
    <row r="22" spans="2:67" ht="13.5" customHeight="1">
      <c r="B22" s="546" t="s">
        <v>162</v>
      </c>
      <c r="C22" s="13"/>
      <c r="D22" s="13">
        <v>1141650</v>
      </c>
      <c r="E22" s="10"/>
      <c r="F22" s="10"/>
      <c r="G22" s="10"/>
      <c r="H22" s="10"/>
      <c r="I22" s="10"/>
      <c r="J22" s="10"/>
      <c r="K22" s="10"/>
      <c r="L22" s="10"/>
      <c r="M22" s="10"/>
      <c r="N22" s="10"/>
      <c r="O22" s="10">
        <f t="shared" ref="O22:O27" si="6">SUM(C22:N22)</f>
        <v>1141650</v>
      </c>
      <c r="P22" s="10"/>
      <c r="Q22" s="10"/>
      <c r="R22" s="10"/>
      <c r="S22" s="10"/>
      <c r="T22" s="10"/>
      <c r="U22" s="10"/>
      <c r="V22" s="10"/>
      <c r="W22" s="10"/>
      <c r="X22" s="10"/>
      <c r="Y22" s="10"/>
      <c r="AY22" s="425"/>
      <c r="AZ22" s="101"/>
      <c r="BA22" s="101"/>
      <c r="BB22" s="101"/>
      <c r="BC22" s="101"/>
    </row>
    <row r="23" spans="2:67" ht="13.5" customHeight="1">
      <c r="B23" s="546" t="s">
        <v>37</v>
      </c>
      <c r="C23" s="13">
        <v>67102</v>
      </c>
      <c r="D23" s="13">
        <v>46873</v>
      </c>
      <c r="E23" s="10"/>
      <c r="F23" s="10">
        <f>-144690+1232</f>
        <v>-143458</v>
      </c>
      <c r="G23" s="10">
        <v>5598</v>
      </c>
      <c r="H23" s="13">
        <v>2742</v>
      </c>
      <c r="I23" s="13"/>
      <c r="J23" s="10"/>
      <c r="K23" s="13"/>
      <c r="L23" s="13"/>
      <c r="M23" s="10"/>
      <c r="N23" s="13"/>
      <c r="O23" s="10">
        <f t="shared" si="6"/>
        <v>-21143</v>
      </c>
      <c r="P23" s="13"/>
      <c r="Q23" s="10"/>
      <c r="R23" s="10"/>
      <c r="S23" s="10"/>
      <c r="T23" s="10"/>
      <c r="U23" s="13"/>
      <c r="V23" s="10"/>
      <c r="W23" s="10"/>
      <c r="X23" s="10"/>
      <c r="Y23" s="10"/>
      <c r="AY23" s="425"/>
      <c r="AZ23" s="101"/>
      <c r="BA23" s="101"/>
      <c r="BB23" s="101"/>
      <c r="BC23" s="101"/>
    </row>
    <row r="24" spans="2:67" ht="13.5" customHeight="1">
      <c r="B24" s="546" t="s">
        <v>483</v>
      </c>
      <c r="C24" s="10">
        <f>66645+21700</f>
        <v>88345</v>
      </c>
      <c r="D24" s="13">
        <f>5010945+194600</f>
        <v>5205545</v>
      </c>
      <c r="E24" s="10"/>
      <c r="F24" s="10"/>
      <c r="G24" s="10">
        <v>357000</v>
      </c>
      <c r="H24" s="10">
        <v>130900</v>
      </c>
      <c r="I24" s="13"/>
      <c r="J24" s="10"/>
      <c r="K24" s="10"/>
      <c r="L24" s="10"/>
      <c r="M24" s="10"/>
      <c r="N24" s="10"/>
      <c r="O24" s="10">
        <f t="shared" si="6"/>
        <v>5781790</v>
      </c>
      <c r="P24" s="10"/>
      <c r="Q24" s="10"/>
      <c r="R24" s="10"/>
      <c r="S24" s="10"/>
      <c r="T24" s="10"/>
      <c r="U24" s="10"/>
      <c r="V24" s="10"/>
      <c r="W24" s="10"/>
      <c r="X24" s="10"/>
      <c r="Y24" s="10"/>
      <c r="Z24" s="10"/>
      <c r="AA24" s="10"/>
      <c r="AB24" s="10"/>
      <c r="AD24" s="424"/>
    </row>
    <row r="25" spans="2:67" ht="13.5" customHeight="1">
      <c r="B25" s="546" t="s">
        <v>538</v>
      </c>
      <c r="C25" s="10">
        <v>40000</v>
      </c>
      <c r="D25" s="13">
        <f>15000+4000+15000</f>
        <v>34000</v>
      </c>
      <c r="E25" s="10">
        <v>5000</v>
      </c>
      <c r="F25" s="10"/>
      <c r="G25" s="10"/>
      <c r="H25" s="10"/>
      <c r="I25" s="13"/>
      <c r="J25" s="10"/>
      <c r="K25" s="10"/>
      <c r="L25" s="10"/>
      <c r="M25" s="10"/>
      <c r="N25" s="10"/>
      <c r="O25" s="10">
        <f t="shared" si="6"/>
        <v>79000</v>
      </c>
      <c r="P25" s="10"/>
      <c r="Q25" s="10"/>
      <c r="R25" s="10"/>
      <c r="S25" s="10"/>
      <c r="T25" s="10"/>
      <c r="U25" s="10"/>
      <c r="V25" s="10"/>
      <c r="W25" s="497"/>
      <c r="X25" s="13"/>
      <c r="Y25" s="13"/>
      <c r="Z25" s="424"/>
      <c r="AD25" s="424"/>
    </row>
    <row r="26" spans="2:67" ht="13.5" customHeight="1">
      <c r="B26" s="546" t="s">
        <v>1112</v>
      </c>
      <c r="C26" s="10"/>
      <c r="D26" s="13"/>
      <c r="E26" s="10"/>
      <c r="F26" s="10"/>
      <c r="G26" s="10"/>
      <c r="H26" s="10">
        <v>1284197</v>
      </c>
      <c r="I26" s="13"/>
      <c r="J26" s="10"/>
      <c r="K26" s="10"/>
      <c r="L26" s="10"/>
      <c r="M26" s="10"/>
      <c r="N26" s="10"/>
      <c r="O26" s="10">
        <f t="shared" si="6"/>
        <v>1284197</v>
      </c>
      <c r="P26" s="10"/>
      <c r="Q26" s="10"/>
      <c r="R26" s="10"/>
      <c r="S26" s="10"/>
      <c r="T26" s="10"/>
      <c r="U26" s="10"/>
      <c r="V26" s="10"/>
      <c r="W26" s="497"/>
      <c r="X26" s="13"/>
      <c r="Y26" s="13"/>
      <c r="Z26" s="424"/>
      <c r="AD26" s="424"/>
    </row>
    <row r="27" spans="2:67" ht="13.5" customHeight="1">
      <c r="B27" s="546" t="s">
        <v>24</v>
      </c>
      <c r="C27" s="13">
        <v>-291000</v>
      </c>
      <c r="D27" s="13"/>
      <c r="E27" s="13"/>
      <c r="F27" s="10"/>
      <c r="G27" s="10">
        <v>1860590</v>
      </c>
      <c r="H27" s="13">
        <f>479200-1735000</f>
        <v>-1255800</v>
      </c>
      <c r="I27" s="13"/>
      <c r="J27" s="10"/>
      <c r="K27" s="13"/>
      <c r="L27" s="13"/>
      <c r="M27" s="10"/>
      <c r="N27" s="13"/>
      <c r="O27" s="10">
        <f t="shared" si="6"/>
        <v>313790</v>
      </c>
      <c r="P27" s="13"/>
      <c r="Q27" s="10"/>
      <c r="R27" s="10"/>
      <c r="S27" s="10"/>
      <c r="T27" s="10"/>
      <c r="U27" s="13"/>
      <c r="V27" s="10"/>
      <c r="W27" s="10"/>
      <c r="X27" s="10"/>
      <c r="Y27" s="10"/>
      <c r="AY27" s="101"/>
      <c r="AZ27" s="424"/>
      <c r="BA27" s="101"/>
      <c r="BB27" s="101"/>
      <c r="BC27" s="101"/>
    </row>
    <row r="28" spans="2:67" ht="13.5" hidden="1" customHeight="1">
      <c r="B28" s="546" t="s">
        <v>38</v>
      </c>
      <c r="C28" s="388"/>
      <c r="D28" s="13"/>
      <c r="E28" s="13"/>
      <c r="F28" s="13"/>
      <c r="G28" s="13"/>
      <c r="H28" s="13"/>
      <c r="I28" s="13"/>
      <c r="J28" s="10"/>
      <c r="K28" s="13"/>
      <c r="L28" s="13"/>
      <c r="M28" s="13"/>
      <c r="N28" s="13"/>
      <c r="O28" s="10">
        <f>SUM(C28:N28)</f>
        <v>0</v>
      </c>
      <c r="P28" s="10"/>
      <c r="Q28" s="10"/>
      <c r="R28" s="10"/>
      <c r="S28" s="10"/>
      <c r="T28" s="10"/>
      <c r="U28" s="10"/>
      <c r="V28" s="10"/>
      <c r="W28" s="10"/>
      <c r="X28" s="10"/>
      <c r="Y28" s="10"/>
      <c r="AY28" s="101"/>
      <c r="AZ28" s="424"/>
      <c r="BA28" s="101"/>
      <c r="BB28" s="101"/>
      <c r="BC28" s="101"/>
    </row>
    <row r="29" spans="2:67" ht="13.5" hidden="1" customHeight="1">
      <c r="B29" s="546" t="s">
        <v>434</v>
      </c>
      <c r="C29" s="2"/>
      <c r="D29" s="2"/>
      <c r="E29" s="2"/>
      <c r="F29" s="2"/>
      <c r="G29" s="2"/>
      <c r="H29" s="2"/>
      <c r="I29" s="2"/>
      <c r="J29" s="392"/>
      <c r="K29" s="2"/>
      <c r="L29" s="2"/>
      <c r="M29" s="2"/>
      <c r="N29" s="2"/>
      <c r="O29" s="10">
        <f>SUM(C29:N29)</f>
        <v>0</v>
      </c>
      <c r="P29" s="10"/>
      <c r="Q29" s="10"/>
      <c r="R29" s="10"/>
      <c r="S29" s="10"/>
      <c r="T29" s="10"/>
      <c r="U29" s="10"/>
      <c r="V29" s="10"/>
      <c r="W29" s="10"/>
      <c r="X29" s="10"/>
      <c r="Y29" s="10"/>
      <c r="AY29" s="101"/>
      <c r="AZ29" s="101"/>
      <c r="BA29" s="101"/>
      <c r="BB29" s="101"/>
      <c r="BC29" s="101"/>
    </row>
    <row r="30" spans="2:67" ht="13.5" hidden="1" customHeight="1">
      <c r="B30" s="546" t="s">
        <v>451</v>
      </c>
      <c r="C30" s="13"/>
      <c r="D30" s="13"/>
      <c r="E30" s="10"/>
      <c r="F30" s="13"/>
      <c r="G30" s="13"/>
      <c r="H30" s="13"/>
      <c r="I30" s="13"/>
      <c r="J30" s="10"/>
      <c r="K30" s="13"/>
      <c r="L30" s="13"/>
      <c r="M30" s="13"/>
      <c r="N30" s="13"/>
      <c r="O30" s="10">
        <f t="shared" si="4"/>
        <v>0</v>
      </c>
      <c r="P30" s="10"/>
      <c r="Q30" s="10"/>
      <c r="R30" s="36"/>
      <c r="S30" s="10"/>
      <c r="T30" s="10"/>
      <c r="U30" s="13"/>
      <c r="V30" s="10"/>
      <c r="W30" s="10"/>
      <c r="X30" s="10"/>
      <c r="Y30" s="10"/>
      <c r="AR30" s="13"/>
      <c r="AS30" s="13"/>
      <c r="AT30" s="13"/>
      <c r="AU30" s="13"/>
      <c r="AV30" s="13"/>
      <c r="AY30" s="13"/>
      <c r="AZ30" s="13"/>
      <c r="BA30" s="13"/>
      <c r="BB30" s="13"/>
      <c r="BC30" s="13"/>
      <c r="BK30" s="422"/>
    </row>
    <row r="31" spans="2:67" ht="13.5" customHeight="1">
      <c r="B31" s="546" t="s">
        <v>39</v>
      </c>
      <c r="C31" s="10">
        <f>208085+2800</f>
        <v>210885</v>
      </c>
      <c r="D31" s="13">
        <f>9093100+263100-271700-2350200</f>
        <v>6734300</v>
      </c>
      <c r="E31" s="35">
        <v>7700</v>
      </c>
      <c r="F31" s="10"/>
      <c r="G31" s="10"/>
      <c r="H31" s="10"/>
      <c r="I31" s="10"/>
      <c r="J31" s="10"/>
      <c r="K31" s="10"/>
      <c r="L31" s="10"/>
      <c r="M31" s="10"/>
      <c r="N31" s="10"/>
      <c r="O31" s="10">
        <f t="shared" si="4"/>
        <v>6952885</v>
      </c>
      <c r="P31" s="10"/>
      <c r="Q31" s="10"/>
      <c r="R31" s="10"/>
      <c r="S31" s="10"/>
      <c r="T31" s="10"/>
      <c r="U31" s="10"/>
      <c r="V31" s="10"/>
      <c r="W31" s="10"/>
      <c r="X31" s="10"/>
      <c r="Y31" s="10"/>
      <c r="AY31" s="101"/>
      <c r="AZ31" s="101"/>
      <c r="BA31" s="101"/>
      <c r="BB31" s="101"/>
      <c r="BC31" s="101"/>
    </row>
    <row r="32" spans="2:67" ht="13.5" customHeight="1">
      <c r="B32" s="546" t="s">
        <v>40</v>
      </c>
      <c r="C32" s="10">
        <f>82500+155850</f>
        <v>238350</v>
      </c>
      <c r="D32" s="13">
        <f>1559800-447800-145750-43225</f>
        <v>923025</v>
      </c>
      <c r="E32" s="35">
        <v>358650</v>
      </c>
      <c r="F32" s="10"/>
      <c r="G32" s="10"/>
      <c r="H32" s="392"/>
      <c r="I32" s="10"/>
      <c r="J32" s="10"/>
      <c r="K32" s="10"/>
      <c r="L32" s="10"/>
      <c r="M32" s="10"/>
      <c r="N32" s="10"/>
      <c r="O32" s="10">
        <f t="shared" si="4"/>
        <v>1520025</v>
      </c>
      <c r="P32" s="392"/>
      <c r="Q32" s="392"/>
      <c r="R32" s="392"/>
      <c r="S32" s="392"/>
      <c r="T32" s="10"/>
      <c r="U32" s="10"/>
      <c r="V32" s="10"/>
      <c r="W32" s="10"/>
      <c r="X32" s="10"/>
      <c r="Y32" s="10"/>
      <c r="AX32" s="421"/>
      <c r="AY32" s="425">
        <f>+AY33-D34</f>
        <v>0</v>
      </c>
      <c r="AZ32" s="101"/>
      <c r="BA32" s="101">
        <f>+BA33-E34</f>
        <v>-128817</v>
      </c>
      <c r="BB32" s="425"/>
      <c r="BC32" s="101">
        <f>+BC33-F34</f>
        <v>-25846</v>
      </c>
      <c r="BE32" s="422">
        <f>+BE33-G34</f>
        <v>-40244</v>
      </c>
      <c r="BG32" s="422">
        <f>+BG33-H34</f>
        <v>-30096</v>
      </c>
      <c r="BO32" s="422"/>
    </row>
    <row r="33" spans="1:72" ht="13.5" customHeight="1" thickBot="1">
      <c r="B33" s="546" t="s">
        <v>41</v>
      </c>
      <c r="C33" s="10">
        <v>4684685</v>
      </c>
      <c r="D33" s="13">
        <v>17662855</v>
      </c>
      <c r="E33" s="10">
        <v>1026066</v>
      </c>
      <c r="F33" s="10"/>
      <c r="G33" s="10">
        <v>2220100</v>
      </c>
      <c r="H33" s="10">
        <v>772100</v>
      </c>
      <c r="I33" s="10"/>
      <c r="J33" s="10"/>
      <c r="K33" s="10"/>
      <c r="L33" s="10"/>
      <c r="M33" s="10"/>
      <c r="N33" s="10"/>
      <c r="O33" s="10">
        <f t="shared" si="4"/>
        <v>26365806</v>
      </c>
      <c r="P33" s="10"/>
      <c r="Q33" s="10"/>
      <c r="R33" s="392"/>
      <c r="S33" s="392"/>
      <c r="T33" s="10"/>
      <c r="U33" s="10"/>
      <c r="V33" s="10"/>
      <c r="W33" s="10"/>
      <c r="X33" s="10"/>
      <c r="Y33" s="10"/>
      <c r="AV33" s="425" t="s">
        <v>565</v>
      </c>
      <c r="AW33" s="101">
        <f>SUM(AW35:AW189)</f>
        <v>71826121</v>
      </c>
      <c r="AX33" s="544" t="s">
        <v>569</v>
      </c>
      <c r="AY33" s="101">
        <f>SUM(AY35:AY189)</f>
        <v>89238695</v>
      </c>
      <c r="AZ33" s="427" t="s">
        <v>566</v>
      </c>
      <c r="BA33" s="101">
        <f>SUM(BA34:BA189)</f>
        <v>98141448</v>
      </c>
      <c r="BB33" s="425" t="s">
        <v>567</v>
      </c>
      <c r="BC33" s="101">
        <f>SUM(BC35:BC189)</f>
        <v>66981765</v>
      </c>
      <c r="BD33" s="421" t="s">
        <v>528</v>
      </c>
      <c r="BE33" s="101">
        <f>SUM(BE35:BE189)</f>
        <v>33101575</v>
      </c>
      <c r="BF33" s="421" t="s">
        <v>371</v>
      </c>
      <c r="BG33" s="101">
        <f>SUM(BG35:BG189)</f>
        <v>73830500</v>
      </c>
      <c r="BH33" s="421" t="s">
        <v>372</v>
      </c>
      <c r="BI33" s="101">
        <f>SUM(BI35:BI189)</f>
        <v>0</v>
      </c>
      <c r="BJ33" s="421" t="s">
        <v>373</v>
      </c>
      <c r="BK33" s="101">
        <f>SUM(BK35:BK189)</f>
        <v>0</v>
      </c>
      <c r="BL33" s="421" t="s">
        <v>374</v>
      </c>
      <c r="BM33" s="101">
        <f>SUM(BM35:BM189)</f>
        <v>0</v>
      </c>
      <c r="BN33" s="421" t="s">
        <v>375</v>
      </c>
      <c r="BO33" s="101">
        <f>SUM(BO35:BO189)</f>
        <v>0</v>
      </c>
      <c r="BP33" s="421" t="s">
        <v>376</v>
      </c>
      <c r="BQ33" s="101">
        <f>SUM(BQ35:BQ189)</f>
        <v>0</v>
      </c>
      <c r="BR33" s="421" t="s">
        <v>377</v>
      </c>
      <c r="BS33" s="101">
        <f>SUM(BS35:BS189)</f>
        <v>0</v>
      </c>
      <c r="BT33" s="422">
        <f>+BS33-N34</f>
        <v>0</v>
      </c>
    </row>
    <row r="34" spans="1:72" ht="13.5" customHeight="1" thickBot="1">
      <c r="A34" s="7" t="s">
        <v>42</v>
      </c>
      <c r="B34" s="441" t="s">
        <v>43</v>
      </c>
      <c r="C34" s="442">
        <f t="shared" ref="C34:O34" si="7">SUM(C35:C61)</f>
        <v>71927565</v>
      </c>
      <c r="D34" s="442">
        <f t="shared" si="7"/>
        <v>89238695</v>
      </c>
      <c r="E34" s="442">
        <f t="shared" si="7"/>
        <v>98270265</v>
      </c>
      <c r="F34" s="442">
        <f t="shared" si="7"/>
        <v>67007611</v>
      </c>
      <c r="G34" s="442">
        <f t="shared" si="7"/>
        <v>33141819</v>
      </c>
      <c r="H34" s="442">
        <f t="shared" si="7"/>
        <v>73860596</v>
      </c>
      <c r="I34" s="442">
        <f t="shared" si="7"/>
        <v>0</v>
      </c>
      <c r="J34" s="442">
        <f t="shared" si="7"/>
        <v>0</v>
      </c>
      <c r="K34" s="442">
        <f t="shared" si="7"/>
        <v>0</v>
      </c>
      <c r="L34" s="442">
        <f t="shared" si="7"/>
        <v>0</v>
      </c>
      <c r="M34" s="442">
        <f t="shared" si="7"/>
        <v>0</v>
      </c>
      <c r="N34" s="442">
        <f t="shared" si="7"/>
        <v>0</v>
      </c>
      <c r="O34" s="443">
        <f t="shared" si="7"/>
        <v>433446551</v>
      </c>
      <c r="P34" s="469"/>
      <c r="Q34" s="469"/>
      <c r="R34" s="549"/>
      <c r="S34" s="469"/>
      <c r="T34" s="469"/>
      <c r="U34" s="469"/>
      <c r="V34" s="469"/>
      <c r="W34" s="469"/>
      <c r="X34" s="469"/>
      <c r="Y34" s="469"/>
      <c r="AV34" s="384" t="s">
        <v>364</v>
      </c>
      <c r="AW34" s="385" t="s">
        <v>365</v>
      </c>
      <c r="AX34" s="384" t="s">
        <v>364</v>
      </c>
      <c r="AY34" s="385" t="s">
        <v>365</v>
      </c>
      <c r="AZ34" s="420" t="s">
        <v>759</v>
      </c>
      <c r="BA34" s="385" t="s">
        <v>365</v>
      </c>
      <c r="BB34" s="384" t="s">
        <v>364</v>
      </c>
      <c r="BC34" s="385" t="s">
        <v>365</v>
      </c>
      <c r="BD34" s="384" t="s">
        <v>364</v>
      </c>
      <c r="BE34" s="385" t="s">
        <v>365</v>
      </c>
      <c r="BF34" s="420" t="s">
        <v>759</v>
      </c>
      <c r="BG34" s="385" t="s">
        <v>365</v>
      </c>
      <c r="BH34" s="420" t="s">
        <v>370</v>
      </c>
      <c r="BI34" s="385" t="s">
        <v>365</v>
      </c>
      <c r="BJ34" s="420" t="s">
        <v>370</v>
      </c>
      <c r="BK34" s="385" t="s">
        <v>365</v>
      </c>
      <c r="BL34" s="420" t="s">
        <v>370</v>
      </c>
      <c r="BM34" s="385" t="s">
        <v>365</v>
      </c>
      <c r="BN34" s="420" t="s">
        <v>370</v>
      </c>
      <c r="BO34" s="385" t="s">
        <v>365</v>
      </c>
      <c r="BP34" s="420" t="s">
        <v>370</v>
      </c>
      <c r="BQ34" s="385" t="s">
        <v>365</v>
      </c>
      <c r="BR34" s="420" t="s">
        <v>370</v>
      </c>
      <c r="BS34" s="385" t="s">
        <v>365</v>
      </c>
    </row>
    <row r="35" spans="1:72" ht="13.5" customHeight="1">
      <c r="A35" s="545" t="s">
        <v>570</v>
      </c>
      <c r="B35" s="546" t="s">
        <v>590</v>
      </c>
      <c r="C35" s="388">
        <f t="shared" ref="C35:C44" si="8">SUMIF($AV$28:$AV$191,$A35,$AW$28:$AW$191)</f>
        <v>4561655</v>
      </c>
      <c r="D35" s="388">
        <f t="shared" ref="D35:D44" si="9">SUMIF($AX$28:$AX$191,$A35,$AY$28:$AY$191)</f>
        <v>9223750</v>
      </c>
      <c r="E35" s="388">
        <f t="shared" ref="E35:E44" si="10">SUMIF($AZ$28:$AZ$191,$A35,$BA$28:$BA$191)</f>
        <v>4342000</v>
      </c>
      <c r="F35" s="388">
        <f t="shared" ref="F35:F44" si="11">SUMIF($BB$28:$BB$191,$A35,$BC$28:$BC$191)</f>
        <v>3691000</v>
      </c>
      <c r="G35" s="388">
        <f>SUMIF($BD$28:$BD$191,$A35,$BE$28:$BE$191)</f>
        <v>6815987</v>
      </c>
      <c r="H35" s="388">
        <f t="shared" ref="H35:H44" si="12">SUMIF($BF$28:$BF$191,$A35,$BG$28:$BG$191)</f>
        <v>3782000</v>
      </c>
      <c r="I35" s="388"/>
      <c r="J35" s="388"/>
      <c r="K35" s="388"/>
      <c r="L35" s="388"/>
      <c r="M35" s="388"/>
      <c r="N35" s="388"/>
      <c r="O35" s="10">
        <f>SUM(C35:N35)</f>
        <v>32416392</v>
      </c>
      <c r="P35" s="10"/>
      <c r="Q35" s="10"/>
      <c r="R35" s="10"/>
      <c r="S35" s="10"/>
      <c r="T35" s="10"/>
      <c r="U35" s="10"/>
      <c r="V35" s="10"/>
      <c r="W35" s="10"/>
      <c r="X35" s="10"/>
      <c r="Y35" s="10"/>
      <c r="AV35" s="547" t="s">
        <v>608</v>
      </c>
      <c r="AW35" s="548">
        <v>1746717</v>
      </c>
      <c r="AX35" s="420" t="s">
        <v>370</v>
      </c>
      <c r="AY35" s="385" t="s">
        <v>365</v>
      </c>
      <c r="AZ35" s="386">
        <v>233595</v>
      </c>
      <c r="BA35" s="387">
        <v>748629</v>
      </c>
      <c r="BB35" s="386" t="s">
        <v>689</v>
      </c>
      <c r="BC35" s="387">
        <v>445940</v>
      </c>
      <c r="BD35" s="386" t="s">
        <v>692</v>
      </c>
      <c r="BE35" s="387">
        <v>1851519</v>
      </c>
      <c r="BF35" s="386" t="s">
        <v>689</v>
      </c>
      <c r="BG35" s="387">
        <v>831130</v>
      </c>
      <c r="BH35" s="386"/>
      <c r="BI35" s="387"/>
      <c r="BJ35" s="386"/>
      <c r="BK35" s="387"/>
      <c r="BL35" s="386"/>
      <c r="BM35" s="387"/>
      <c r="BN35" s="386"/>
      <c r="BO35" s="387"/>
      <c r="BP35" s="386"/>
      <c r="BQ35" s="387"/>
      <c r="BR35" s="386"/>
      <c r="BS35" s="387"/>
    </row>
    <row r="36" spans="1:72" ht="13.5" customHeight="1">
      <c r="A36" s="545" t="s">
        <v>571</v>
      </c>
      <c r="B36" s="546" t="s">
        <v>591</v>
      </c>
      <c r="C36" s="388">
        <f t="shared" si="8"/>
        <v>39546061</v>
      </c>
      <c r="D36" s="388">
        <f t="shared" si="9"/>
        <v>41918824</v>
      </c>
      <c r="E36" s="388">
        <f t="shared" si="10"/>
        <v>41918824</v>
      </c>
      <c r="F36" s="388">
        <f t="shared" si="11"/>
        <v>41918824</v>
      </c>
      <c r="G36" s="388">
        <f t="shared" ref="G36:G44" si="13">SUMIF($BD$28:$BD$191,$A36,$BE$28:$BEC$191)</f>
        <v>0</v>
      </c>
      <c r="H36" s="388">
        <f t="shared" si="12"/>
        <v>32987648</v>
      </c>
      <c r="I36" s="388"/>
      <c r="J36" s="388"/>
      <c r="K36" s="388"/>
      <c r="L36" s="388"/>
      <c r="M36" s="388"/>
      <c r="N36" s="388"/>
      <c r="O36" s="10">
        <f>SUM(C36:N36)</f>
        <v>198290181</v>
      </c>
      <c r="P36" s="10"/>
      <c r="Q36" s="10"/>
      <c r="R36" s="10"/>
      <c r="S36" s="10"/>
      <c r="T36" s="10"/>
      <c r="U36" s="10"/>
      <c r="V36" s="10"/>
      <c r="W36" s="10"/>
      <c r="X36" s="10"/>
      <c r="Y36" s="10"/>
      <c r="AA36" s="426"/>
      <c r="AB36" s="426"/>
      <c r="AC36" s="426"/>
      <c r="AD36" s="426"/>
      <c r="AE36" s="426"/>
      <c r="AF36" s="426"/>
      <c r="AG36" s="426"/>
      <c r="AH36" s="426"/>
      <c r="AI36" s="426"/>
      <c r="AJ36" s="426"/>
      <c r="AK36" s="426"/>
      <c r="AL36" s="426"/>
      <c r="AM36" s="426"/>
      <c r="AN36" s="426"/>
      <c r="AP36" s="424"/>
      <c r="AV36" s="547" t="s">
        <v>609</v>
      </c>
      <c r="AW36" s="548">
        <v>6592664</v>
      </c>
      <c r="AX36" s="386" t="s">
        <v>689</v>
      </c>
      <c r="AY36" s="548">
        <v>173880</v>
      </c>
      <c r="AZ36" s="386" t="s">
        <v>690</v>
      </c>
      <c r="BA36" s="387">
        <v>423000</v>
      </c>
      <c r="BB36" s="386" t="s">
        <v>689</v>
      </c>
      <c r="BC36" s="387">
        <v>380590</v>
      </c>
      <c r="BD36" s="386" t="s">
        <v>691</v>
      </c>
      <c r="BE36" s="387">
        <v>7497335</v>
      </c>
      <c r="BF36" s="386" t="s">
        <v>1018</v>
      </c>
      <c r="BG36" s="387">
        <v>1153613</v>
      </c>
      <c r="BH36" s="386"/>
      <c r="BI36" s="387"/>
      <c r="BJ36" s="386"/>
      <c r="BK36" s="387"/>
      <c r="BL36" s="386"/>
      <c r="BM36" s="387"/>
      <c r="BN36" s="386"/>
      <c r="BO36" s="387"/>
      <c r="BP36" s="386"/>
      <c r="BQ36" s="387"/>
      <c r="BR36" s="386"/>
      <c r="BS36" s="387"/>
    </row>
    <row r="37" spans="1:72" ht="13.5" customHeight="1">
      <c r="A37" s="545" t="s">
        <v>572</v>
      </c>
      <c r="B37" s="546" t="s">
        <v>592</v>
      </c>
      <c r="C37" s="388">
        <f t="shared" si="8"/>
        <v>6592664</v>
      </c>
      <c r="D37" s="388">
        <f t="shared" si="9"/>
        <v>7809723</v>
      </c>
      <c r="E37" s="388">
        <f t="shared" si="10"/>
        <v>7809723</v>
      </c>
      <c r="F37" s="388">
        <f t="shared" si="11"/>
        <v>7809723</v>
      </c>
      <c r="G37" s="388">
        <f t="shared" si="13"/>
        <v>7497335</v>
      </c>
      <c r="H37" s="388">
        <f t="shared" si="12"/>
        <v>7809723</v>
      </c>
      <c r="I37" s="388"/>
      <c r="J37" s="388"/>
      <c r="K37" s="388"/>
      <c r="L37" s="388"/>
      <c r="M37" s="388"/>
      <c r="N37" s="388"/>
      <c r="O37" s="10">
        <f>SUM(C37:N37)</f>
        <v>45328891</v>
      </c>
      <c r="P37" s="10"/>
      <c r="Q37" s="10"/>
      <c r="R37" s="10"/>
      <c r="S37" s="10"/>
      <c r="T37" s="10"/>
      <c r="U37" s="10"/>
      <c r="V37" s="10"/>
      <c r="W37" s="10"/>
      <c r="X37" s="10"/>
      <c r="Y37" s="10"/>
      <c r="AA37" s="426"/>
      <c r="AB37" s="426"/>
      <c r="AC37" s="426"/>
      <c r="AD37" s="426"/>
      <c r="AE37" s="426"/>
      <c r="AF37" s="426"/>
      <c r="AG37" s="426"/>
      <c r="AH37" s="426"/>
      <c r="AI37" s="426"/>
      <c r="AJ37" s="426"/>
      <c r="AK37" s="426"/>
      <c r="AL37" s="426"/>
      <c r="AM37" s="426"/>
      <c r="AN37" s="426"/>
      <c r="AP37" s="424"/>
      <c r="AV37" s="547" t="s">
        <v>610</v>
      </c>
      <c r="AW37" s="548">
        <v>633616</v>
      </c>
      <c r="AX37" s="386" t="s">
        <v>689</v>
      </c>
      <c r="AY37" s="548">
        <v>91050</v>
      </c>
      <c r="AZ37" s="386" t="s">
        <v>694</v>
      </c>
      <c r="BA37" s="387">
        <v>178600</v>
      </c>
      <c r="BB37" s="386" t="s">
        <v>689</v>
      </c>
      <c r="BC37" s="387">
        <v>45660</v>
      </c>
      <c r="BD37" s="386" t="s">
        <v>693</v>
      </c>
      <c r="BE37" s="387">
        <v>2768000</v>
      </c>
      <c r="BF37" s="386" t="s">
        <v>694</v>
      </c>
      <c r="BG37" s="387">
        <v>350000</v>
      </c>
      <c r="BH37" s="386"/>
      <c r="BI37" s="387"/>
      <c r="BJ37" s="386"/>
      <c r="BK37" s="387"/>
      <c r="BL37" s="386"/>
      <c r="BM37" s="387"/>
      <c r="BN37" s="386"/>
      <c r="BO37" s="387"/>
      <c r="BP37" s="386"/>
      <c r="BQ37" s="387"/>
      <c r="BR37" s="386"/>
      <c r="BS37" s="387"/>
    </row>
    <row r="38" spans="1:72" ht="13.5" customHeight="1">
      <c r="A38" s="545" t="s">
        <v>573</v>
      </c>
      <c r="B38" s="546" t="s">
        <v>593</v>
      </c>
      <c r="C38" s="388">
        <f t="shared" si="8"/>
        <v>1746717</v>
      </c>
      <c r="D38" s="388">
        <f t="shared" si="9"/>
        <v>1851519</v>
      </c>
      <c r="E38" s="388">
        <f t="shared" si="10"/>
        <v>1851519</v>
      </c>
      <c r="F38" s="388">
        <f t="shared" si="11"/>
        <v>1851519</v>
      </c>
      <c r="G38" s="388">
        <f t="shared" si="13"/>
        <v>1851519</v>
      </c>
      <c r="H38" s="388">
        <f t="shared" si="12"/>
        <v>1851519</v>
      </c>
      <c r="I38" s="388"/>
      <c r="J38" s="388"/>
      <c r="K38" s="388"/>
      <c r="L38" s="388"/>
      <c r="M38" s="388"/>
      <c r="N38" s="388"/>
      <c r="O38" s="10">
        <f>SUM(C38:N38)</f>
        <v>11004312</v>
      </c>
      <c r="P38" s="10"/>
      <c r="Q38" s="10"/>
      <c r="R38" s="10"/>
      <c r="S38" s="10"/>
      <c r="T38" s="10"/>
      <c r="U38" s="10"/>
      <c r="V38" s="10"/>
      <c r="W38" s="10"/>
      <c r="X38" s="10"/>
      <c r="Y38" s="10"/>
      <c r="AA38" s="426"/>
      <c r="AB38" s="426"/>
      <c r="AC38" s="426"/>
      <c r="AD38" s="426"/>
      <c r="AE38" s="426"/>
      <c r="AF38" s="426"/>
      <c r="AG38" s="426"/>
      <c r="AH38" s="426"/>
      <c r="AI38" s="426"/>
      <c r="AJ38" s="426"/>
      <c r="AK38" s="426"/>
      <c r="AL38" s="426"/>
      <c r="AM38" s="426"/>
      <c r="AN38" s="426"/>
      <c r="AP38" s="424"/>
      <c r="AV38" s="547" t="s">
        <v>610</v>
      </c>
      <c r="AW38" s="548">
        <v>825000</v>
      </c>
      <c r="AX38" s="386" t="s">
        <v>689</v>
      </c>
      <c r="AY38" s="548">
        <v>345700</v>
      </c>
      <c r="AZ38" s="386" t="s">
        <v>691</v>
      </c>
      <c r="BA38" s="387">
        <v>7809723</v>
      </c>
      <c r="BB38" s="386" t="s">
        <v>690</v>
      </c>
      <c r="BC38" s="387">
        <v>420000</v>
      </c>
      <c r="BD38" s="386" t="s">
        <v>689</v>
      </c>
      <c r="BE38" s="387">
        <v>180980</v>
      </c>
      <c r="BF38" s="386" t="s">
        <v>694</v>
      </c>
      <c r="BG38" s="387">
        <v>693500</v>
      </c>
      <c r="BH38" s="386"/>
      <c r="BI38" s="387"/>
      <c r="BJ38" s="386"/>
      <c r="BK38" s="387"/>
      <c r="BL38" s="386"/>
      <c r="BM38" s="387"/>
      <c r="BN38" s="386"/>
      <c r="BO38" s="387"/>
      <c r="BP38" s="386"/>
      <c r="BQ38" s="387"/>
      <c r="BR38" s="386"/>
      <c r="BS38" s="387"/>
    </row>
    <row r="39" spans="1:72" ht="13.5" customHeight="1">
      <c r="A39" s="545" t="s">
        <v>574</v>
      </c>
      <c r="B39" s="546" t="s">
        <v>594</v>
      </c>
      <c r="C39" s="388">
        <f t="shared" si="8"/>
        <v>138000</v>
      </c>
      <c r="D39" s="388">
        <f t="shared" si="9"/>
        <v>0</v>
      </c>
      <c r="E39" s="388">
        <f t="shared" si="10"/>
        <v>138000</v>
      </c>
      <c r="F39" s="388">
        <f t="shared" si="11"/>
        <v>138000</v>
      </c>
      <c r="G39" s="388">
        <f t="shared" si="13"/>
        <v>138000</v>
      </c>
      <c r="H39" s="388">
        <f t="shared" si="12"/>
        <v>138000</v>
      </c>
      <c r="I39" s="388"/>
      <c r="J39" s="388"/>
      <c r="K39" s="388"/>
      <c r="L39" s="388"/>
      <c r="M39" s="388"/>
      <c r="N39" s="388"/>
      <c r="O39" s="10">
        <f t="shared" ref="O39:O61" si="14">SUM(C39:N39)</f>
        <v>690000</v>
      </c>
      <c r="P39" s="10"/>
      <c r="Q39" s="10"/>
      <c r="R39" s="10"/>
      <c r="S39" s="10"/>
      <c r="T39" s="10"/>
      <c r="U39" s="10"/>
      <c r="V39" s="10"/>
      <c r="W39" s="10"/>
      <c r="X39" s="10"/>
      <c r="Y39" s="10"/>
      <c r="AA39" s="426"/>
      <c r="AB39" s="426"/>
      <c r="AC39" s="426"/>
      <c r="AD39" s="426"/>
      <c r="AE39" s="426"/>
      <c r="AF39" s="426"/>
      <c r="AG39" s="426"/>
      <c r="AH39" s="426"/>
      <c r="AI39" s="426"/>
      <c r="AJ39" s="426"/>
      <c r="AK39" s="426"/>
      <c r="AL39" s="426"/>
      <c r="AM39" s="426"/>
      <c r="AN39" s="426"/>
      <c r="AP39" s="424"/>
      <c r="AV39" s="547" t="s">
        <v>611</v>
      </c>
      <c r="AW39" s="548">
        <v>2768000</v>
      </c>
      <c r="AX39" s="386" t="s">
        <v>690</v>
      </c>
      <c r="AY39" s="548">
        <v>565000</v>
      </c>
      <c r="AZ39" s="386" t="s">
        <v>692</v>
      </c>
      <c r="BA39" s="387">
        <v>1851519</v>
      </c>
      <c r="BB39" s="386" t="s">
        <v>1018</v>
      </c>
      <c r="BC39" s="387">
        <v>210000</v>
      </c>
      <c r="BD39" s="386" t="s">
        <v>689</v>
      </c>
      <c r="BE39" s="387">
        <v>123760</v>
      </c>
      <c r="BF39" s="386">
        <v>23353507</v>
      </c>
      <c r="BG39" s="387">
        <v>272600</v>
      </c>
      <c r="BH39" s="386"/>
      <c r="BI39" s="387"/>
      <c r="BJ39" s="386"/>
      <c r="BK39" s="387"/>
      <c r="BL39" s="386"/>
      <c r="BM39" s="387"/>
      <c r="BN39" s="386"/>
      <c r="BO39" s="387"/>
      <c r="BP39" s="386"/>
      <c r="BQ39" s="387"/>
      <c r="BR39" s="386"/>
      <c r="BS39" s="387"/>
    </row>
    <row r="40" spans="1:72" ht="13.5" customHeight="1">
      <c r="A40" s="545" t="s">
        <v>575</v>
      </c>
      <c r="B40" s="546" t="s">
        <v>595</v>
      </c>
      <c r="C40" s="388">
        <f t="shared" si="8"/>
        <v>4359600</v>
      </c>
      <c r="D40" s="388">
        <f t="shared" si="9"/>
        <v>6693400</v>
      </c>
      <c r="E40" s="388">
        <f t="shared" si="10"/>
        <v>8191950</v>
      </c>
      <c r="F40" s="388">
        <f t="shared" si="11"/>
        <v>178600</v>
      </c>
      <c r="G40" s="388">
        <f t="shared" si="13"/>
        <v>5630542</v>
      </c>
      <c r="H40" s="388">
        <f t="shared" si="12"/>
        <v>10891309</v>
      </c>
      <c r="I40" s="388"/>
      <c r="J40" s="388"/>
      <c r="K40" s="388"/>
      <c r="L40" s="388"/>
      <c r="M40" s="388"/>
      <c r="N40" s="388"/>
      <c r="O40" s="10">
        <f t="shared" si="14"/>
        <v>35945401</v>
      </c>
      <c r="P40" s="10"/>
      <c r="Q40" s="10"/>
      <c r="R40" s="10"/>
      <c r="S40" s="10"/>
      <c r="T40" s="10"/>
      <c r="U40" s="10"/>
      <c r="V40" s="10"/>
      <c r="W40" s="10"/>
      <c r="X40" s="10"/>
      <c r="Y40" s="10"/>
      <c r="AA40" s="426"/>
      <c r="AB40" s="426"/>
      <c r="AC40" s="426"/>
      <c r="AD40" s="426"/>
      <c r="AE40" s="426"/>
      <c r="AF40" s="426"/>
      <c r="AG40" s="426"/>
      <c r="AH40" s="426"/>
      <c r="AI40" s="426"/>
      <c r="AJ40" s="426"/>
      <c r="AK40" s="426"/>
      <c r="AL40" s="426"/>
      <c r="AM40" s="426"/>
      <c r="AN40" s="426"/>
      <c r="AP40" s="424"/>
      <c r="AV40" s="547" t="s">
        <v>612</v>
      </c>
      <c r="AW40" s="548">
        <v>150000</v>
      </c>
      <c r="AX40" s="386" t="s">
        <v>691</v>
      </c>
      <c r="AY40" s="548">
        <v>7809723</v>
      </c>
      <c r="AZ40" s="386" t="s">
        <v>693</v>
      </c>
      <c r="BA40" s="387">
        <v>660000</v>
      </c>
      <c r="BB40" s="386" t="s">
        <v>697</v>
      </c>
      <c r="BC40" s="387">
        <v>178600</v>
      </c>
      <c r="BD40" s="386" t="s">
        <v>689</v>
      </c>
      <c r="BE40" s="387">
        <v>127420</v>
      </c>
      <c r="BF40" s="386">
        <v>23353507</v>
      </c>
      <c r="BG40" s="387">
        <v>216200</v>
      </c>
      <c r="BH40" s="386"/>
      <c r="BI40" s="387"/>
      <c r="BJ40" s="386"/>
      <c r="BK40" s="387"/>
      <c r="BL40" s="386"/>
      <c r="BM40" s="387"/>
      <c r="BN40" s="386"/>
      <c r="BO40" s="387"/>
      <c r="BP40" s="386"/>
      <c r="BQ40" s="387"/>
      <c r="BR40" s="386"/>
      <c r="BS40" s="387"/>
    </row>
    <row r="41" spans="1:72" ht="13.5" customHeight="1">
      <c r="A41" s="545" t="s">
        <v>576</v>
      </c>
      <c r="B41" s="546" t="s">
        <v>596</v>
      </c>
      <c r="C41" s="388">
        <f t="shared" si="8"/>
        <v>0</v>
      </c>
      <c r="D41" s="388">
        <f t="shared" si="9"/>
        <v>350474</v>
      </c>
      <c r="E41" s="388">
        <f t="shared" si="10"/>
        <v>344655</v>
      </c>
      <c r="F41" s="388">
        <f t="shared" si="11"/>
        <v>0</v>
      </c>
      <c r="G41" s="388">
        <f t="shared" si="13"/>
        <v>2512474</v>
      </c>
      <c r="H41" s="388">
        <f t="shared" si="12"/>
        <v>0</v>
      </c>
      <c r="I41" s="388"/>
      <c r="J41" s="388"/>
      <c r="K41" s="388"/>
      <c r="L41" s="388"/>
      <c r="M41" s="388"/>
      <c r="N41" s="388"/>
      <c r="O41" s="10">
        <f t="shared" si="14"/>
        <v>3207603</v>
      </c>
      <c r="P41" s="10"/>
      <c r="Q41" s="10"/>
      <c r="R41" s="10"/>
      <c r="S41" s="10"/>
      <c r="T41" s="10"/>
      <c r="U41" s="10"/>
      <c r="V41" s="10"/>
      <c r="W41" s="10"/>
      <c r="X41" s="10"/>
      <c r="Y41" s="10"/>
      <c r="AA41" s="426"/>
      <c r="AB41" s="426"/>
      <c r="AC41" s="426"/>
      <c r="AD41" s="426"/>
      <c r="AE41" s="426"/>
      <c r="AF41" s="426"/>
      <c r="AG41" s="426"/>
      <c r="AH41" s="426"/>
      <c r="AI41" s="426"/>
      <c r="AJ41" s="426"/>
      <c r="AK41" s="426"/>
      <c r="AL41" s="426"/>
      <c r="AM41" s="426"/>
      <c r="AN41" s="426"/>
      <c r="AP41" s="424"/>
      <c r="AV41" s="547" t="s">
        <v>612</v>
      </c>
      <c r="AW41" s="548">
        <v>100000</v>
      </c>
      <c r="AX41" s="386" t="s">
        <v>692</v>
      </c>
      <c r="AY41" s="548">
        <v>1851519</v>
      </c>
      <c r="AZ41" s="386" t="s">
        <v>693</v>
      </c>
      <c r="BA41" s="387">
        <v>2768000</v>
      </c>
      <c r="BB41" s="386" t="s">
        <v>692</v>
      </c>
      <c r="BC41" s="387">
        <v>1851519</v>
      </c>
      <c r="BD41" s="386" t="s">
        <v>689</v>
      </c>
      <c r="BE41" s="387">
        <v>131350</v>
      </c>
      <c r="BF41" s="386">
        <v>23353507</v>
      </c>
      <c r="BG41" s="387">
        <v>45000</v>
      </c>
      <c r="BH41" s="386"/>
      <c r="BI41" s="387"/>
      <c r="BJ41" s="386"/>
      <c r="BK41" s="387"/>
      <c r="BL41" s="386"/>
      <c r="BM41" s="387"/>
      <c r="BN41" s="386"/>
      <c r="BO41" s="387"/>
      <c r="BP41" s="386"/>
      <c r="BQ41" s="387"/>
      <c r="BR41" s="386"/>
      <c r="BS41" s="387"/>
    </row>
    <row r="42" spans="1:72" ht="13.5" customHeight="1">
      <c r="A42" s="545" t="s">
        <v>577</v>
      </c>
      <c r="B42" s="546" t="s">
        <v>597</v>
      </c>
      <c r="C42" s="388">
        <f t="shared" si="8"/>
        <v>0</v>
      </c>
      <c r="D42" s="388">
        <f t="shared" si="9"/>
        <v>565000</v>
      </c>
      <c r="E42" s="388">
        <f t="shared" si="10"/>
        <v>588000</v>
      </c>
      <c r="F42" s="388">
        <f t="shared" si="11"/>
        <v>420000</v>
      </c>
      <c r="G42" s="388">
        <f t="shared" si="13"/>
        <v>0</v>
      </c>
      <c r="H42" s="388">
        <f t="shared" si="12"/>
        <v>0</v>
      </c>
      <c r="I42" s="388"/>
      <c r="J42" s="388"/>
      <c r="K42" s="388"/>
      <c r="L42" s="388"/>
      <c r="M42" s="388"/>
      <c r="N42" s="388"/>
      <c r="O42" s="10">
        <f t="shared" si="14"/>
        <v>1573000</v>
      </c>
      <c r="P42" s="10"/>
      <c r="Q42" s="10"/>
      <c r="R42" s="10"/>
      <c r="S42" s="10"/>
      <c r="T42" s="10"/>
      <c r="U42" s="10"/>
      <c r="V42" s="10"/>
      <c r="W42" s="10"/>
      <c r="X42" s="10"/>
      <c r="Y42" s="10"/>
      <c r="AA42" s="426"/>
      <c r="AB42" s="426"/>
      <c r="AC42" s="426"/>
      <c r="AD42" s="426"/>
      <c r="AE42" s="426"/>
      <c r="AF42" s="426"/>
      <c r="AG42" s="426"/>
      <c r="AH42" s="426"/>
      <c r="AI42" s="426"/>
      <c r="AJ42" s="426"/>
      <c r="AK42" s="426"/>
      <c r="AL42" s="426"/>
      <c r="AM42" s="426"/>
      <c r="AN42" s="426"/>
      <c r="AP42" s="424"/>
      <c r="AV42" s="547" t="s">
        <v>612</v>
      </c>
      <c r="AW42" s="548">
        <v>362640</v>
      </c>
      <c r="AX42" s="386" t="s">
        <v>693</v>
      </c>
      <c r="AY42" s="548">
        <v>2768000</v>
      </c>
      <c r="AZ42" s="386" t="s">
        <v>694</v>
      </c>
      <c r="BA42" s="387">
        <v>900000</v>
      </c>
      <c r="BB42" s="386" t="s">
        <v>691</v>
      </c>
      <c r="BC42" s="387">
        <v>7809723</v>
      </c>
      <c r="BD42" s="386" t="s">
        <v>689</v>
      </c>
      <c r="BE42" s="387">
        <v>458590</v>
      </c>
      <c r="BF42" s="386" t="s">
        <v>691</v>
      </c>
      <c r="BG42" s="387">
        <v>7809723</v>
      </c>
      <c r="BH42" s="386"/>
      <c r="BI42" s="387"/>
      <c r="BJ42" s="386"/>
      <c r="BK42" s="387"/>
      <c r="BL42" s="386"/>
      <c r="BM42" s="387"/>
      <c r="BN42" s="386"/>
      <c r="BO42" s="387"/>
      <c r="BP42" s="386"/>
      <c r="BQ42" s="387"/>
      <c r="BR42" s="386"/>
      <c r="BS42" s="387"/>
    </row>
    <row r="43" spans="1:72" ht="13.5" customHeight="1">
      <c r="A43" s="545" t="s">
        <v>578</v>
      </c>
      <c r="B43" s="546" t="s">
        <v>598</v>
      </c>
      <c r="C43" s="388">
        <f t="shared" si="8"/>
        <v>1101681</v>
      </c>
      <c r="D43" s="388">
        <f t="shared" si="9"/>
        <v>270588</v>
      </c>
      <c r="E43" s="388">
        <f t="shared" si="10"/>
        <v>270588</v>
      </c>
      <c r="F43" s="388">
        <f t="shared" si="11"/>
        <v>1372269</v>
      </c>
      <c r="G43" s="388">
        <f t="shared" si="13"/>
        <v>270588</v>
      </c>
      <c r="H43" s="388">
        <f t="shared" si="12"/>
        <v>270588</v>
      </c>
      <c r="I43" s="388"/>
      <c r="J43" s="388"/>
      <c r="K43" s="388"/>
      <c r="L43" s="388"/>
      <c r="M43" s="388"/>
      <c r="N43" s="388"/>
      <c r="O43" s="10">
        <f t="shared" si="14"/>
        <v>3556302</v>
      </c>
      <c r="P43" s="10"/>
      <c r="Q43" s="10"/>
      <c r="R43" s="10"/>
      <c r="S43" s="10"/>
      <c r="T43" s="10"/>
      <c r="U43" s="10"/>
      <c r="V43" s="10"/>
      <c r="W43" s="10"/>
      <c r="X43" s="10"/>
      <c r="Y43" s="10"/>
      <c r="AA43" s="426"/>
      <c r="AB43" s="426"/>
      <c r="AC43" s="426"/>
      <c r="AD43" s="426"/>
      <c r="AE43" s="426"/>
      <c r="AF43" s="426"/>
      <c r="AG43" s="426"/>
      <c r="AH43" s="426"/>
      <c r="AI43" s="426"/>
      <c r="AJ43" s="426"/>
      <c r="AK43" s="426"/>
      <c r="AL43" s="426"/>
      <c r="AM43" s="426"/>
      <c r="AN43" s="426"/>
      <c r="AP43" s="424"/>
      <c r="AV43" s="547" t="s">
        <v>612</v>
      </c>
      <c r="AW43" s="548">
        <v>728446</v>
      </c>
      <c r="AX43" s="386" t="s">
        <v>694</v>
      </c>
      <c r="AY43" s="548">
        <v>2500000</v>
      </c>
      <c r="AZ43" s="386" t="s">
        <v>695</v>
      </c>
      <c r="BA43" s="387">
        <v>602117</v>
      </c>
      <c r="BB43" s="386" t="s">
        <v>693</v>
      </c>
      <c r="BC43" s="387">
        <v>2768000</v>
      </c>
      <c r="BD43" s="386" t="s">
        <v>689</v>
      </c>
      <c r="BE43" s="387">
        <v>172900</v>
      </c>
      <c r="BF43" s="386" t="s">
        <v>692</v>
      </c>
      <c r="BG43" s="387">
        <v>1851519</v>
      </c>
      <c r="BH43" s="386"/>
      <c r="BI43" s="387"/>
      <c r="BJ43" s="386"/>
      <c r="BK43" s="387"/>
      <c r="BL43" s="386"/>
      <c r="BM43" s="387"/>
      <c r="BN43" s="386"/>
      <c r="BO43" s="387"/>
      <c r="BP43" s="386"/>
      <c r="BQ43" s="387"/>
      <c r="BR43" s="386"/>
      <c r="BS43" s="387"/>
    </row>
    <row r="44" spans="1:72" ht="13.5" customHeight="1">
      <c r="A44" s="545" t="s">
        <v>579</v>
      </c>
      <c r="B44" s="546" t="s">
        <v>599</v>
      </c>
      <c r="C44" s="388">
        <f t="shared" si="8"/>
        <v>0</v>
      </c>
      <c r="D44" s="388">
        <f t="shared" si="9"/>
        <v>2585651</v>
      </c>
      <c r="E44" s="388">
        <f t="shared" si="10"/>
        <v>2844000</v>
      </c>
      <c r="F44" s="388">
        <f t="shared" si="11"/>
        <v>2499000</v>
      </c>
      <c r="G44" s="388">
        <f t="shared" si="13"/>
        <v>2499000</v>
      </c>
      <c r="H44" s="388">
        <f t="shared" si="12"/>
        <v>2499000</v>
      </c>
      <c r="I44" s="388"/>
      <c r="J44" s="388"/>
      <c r="K44" s="388"/>
      <c r="L44" s="388"/>
      <c r="M44" s="388"/>
      <c r="N44" s="388"/>
      <c r="O44" s="10">
        <f t="shared" si="14"/>
        <v>12926651</v>
      </c>
      <c r="P44" s="10"/>
      <c r="Q44" s="10"/>
      <c r="R44" s="10"/>
      <c r="S44" s="10"/>
      <c r="T44" s="10"/>
      <c r="U44" s="10"/>
      <c r="V44" s="10"/>
      <c r="W44" s="10"/>
      <c r="X44" s="10"/>
      <c r="Y44" s="10"/>
      <c r="AA44" s="426"/>
      <c r="AB44" s="426"/>
      <c r="AC44" s="426"/>
      <c r="AD44" s="426"/>
      <c r="AE44" s="426"/>
      <c r="AF44" s="426"/>
      <c r="AG44" s="426"/>
      <c r="AH44" s="426"/>
      <c r="AI44" s="426"/>
      <c r="AJ44" s="426"/>
      <c r="AK44" s="426"/>
      <c r="AL44" s="426"/>
      <c r="AM44" s="426"/>
      <c r="AN44" s="426"/>
      <c r="AP44" s="424"/>
      <c r="AV44" s="547" t="s">
        <v>613</v>
      </c>
      <c r="AW44" s="548">
        <v>126130</v>
      </c>
      <c r="AX44" s="386" t="s">
        <v>695</v>
      </c>
      <c r="AY44" s="548">
        <v>148850</v>
      </c>
      <c r="AZ44" s="386" t="s">
        <v>695</v>
      </c>
      <c r="BA44" s="387">
        <v>586900</v>
      </c>
      <c r="BB44" s="386" t="s">
        <v>689</v>
      </c>
      <c r="BC44" s="387">
        <v>163320</v>
      </c>
      <c r="BD44" s="386" t="s">
        <v>689</v>
      </c>
      <c r="BE44" s="387">
        <v>2424860</v>
      </c>
      <c r="BF44" s="386" t="s">
        <v>694</v>
      </c>
      <c r="BG44" s="387">
        <v>500000</v>
      </c>
      <c r="BH44" s="386"/>
      <c r="BI44" s="387"/>
      <c r="BJ44" s="386"/>
      <c r="BK44" s="387"/>
      <c r="BL44" s="386"/>
      <c r="BM44" s="387"/>
      <c r="BN44" s="386"/>
      <c r="BO44" s="387"/>
      <c r="BP44" s="386"/>
      <c r="BQ44" s="387"/>
      <c r="BR44" s="386"/>
      <c r="BS44" s="387"/>
    </row>
    <row r="45" spans="1:72" ht="13.5" customHeight="1">
      <c r="A45" s="545">
        <v>23353506</v>
      </c>
      <c r="B45" s="546" t="s">
        <v>1110</v>
      </c>
      <c r="C45" s="388"/>
      <c r="D45" s="388"/>
      <c r="E45" s="388"/>
      <c r="F45" s="388"/>
      <c r="G45" s="388"/>
      <c r="H45" s="388">
        <f t="shared" ref="H45:H46" si="15">SUMIF($BF$28:$BF$191,$A45,$BG$28:$BG$191)</f>
        <v>446500</v>
      </c>
      <c r="I45" s="388"/>
      <c r="J45" s="388"/>
      <c r="K45" s="388"/>
      <c r="L45" s="388"/>
      <c r="M45" s="388"/>
      <c r="N45" s="388"/>
      <c r="O45" s="10">
        <f t="shared" si="14"/>
        <v>446500</v>
      </c>
      <c r="P45" s="10"/>
      <c r="Q45" s="10"/>
      <c r="R45" s="10"/>
      <c r="S45" s="10"/>
      <c r="T45" s="10"/>
      <c r="U45" s="10"/>
      <c r="V45" s="10"/>
      <c r="W45" s="10"/>
      <c r="X45" s="10"/>
      <c r="Y45" s="10"/>
      <c r="AA45" s="426"/>
      <c r="AB45" s="426"/>
      <c r="AC45" s="426"/>
      <c r="AD45" s="426"/>
      <c r="AE45" s="426"/>
      <c r="AF45" s="426"/>
      <c r="AG45" s="426"/>
      <c r="AH45" s="426"/>
      <c r="AI45" s="426"/>
      <c r="AJ45" s="426"/>
      <c r="AK45" s="426"/>
      <c r="AL45" s="426"/>
      <c r="AM45" s="426"/>
      <c r="AN45" s="426"/>
      <c r="AP45" s="424"/>
      <c r="AV45" s="547"/>
      <c r="AW45" s="548"/>
      <c r="AX45" s="386"/>
      <c r="AY45" s="548"/>
      <c r="AZ45" s="386"/>
      <c r="BA45" s="387"/>
      <c r="BB45" s="386"/>
      <c r="BC45" s="387"/>
      <c r="BD45" s="386"/>
      <c r="BE45" s="387"/>
      <c r="BF45" s="386"/>
      <c r="BG45" s="387"/>
      <c r="BH45" s="386"/>
      <c r="BI45" s="387"/>
      <c r="BJ45" s="386"/>
      <c r="BK45" s="387"/>
      <c r="BL45" s="386"/>
      <c r="BM45" s="387"/>
      <c r="BN45" s="386"/>
      <c r="BO45" s="387"/>
      <c r="BP45" s="386"/>
      <c r="BQ45" s="387"/>
      <c r="BR45" s="386"/>
      <c r="BS45" s="387"/>
    </row>
    <row r="46" spans="1:72" ht="13.5" customHeight="1">
      <c r="A46" s="545">
        <v>23353507</v>
      </c>
      <c r="B46" s="546" t="s">
        <v>1109</v>
      </c>
      <c r="C46" s="388"/>
      <c r="D46" s="388"/>
      <c r="E46" s="388"/>
      <c r="F46" s="388"/>
      <c r="G46" s="388"/>
      <c r="H46" s="388">
        <f t="shared" si="15"/>
        <v>1365700</v>
      </c>
      <c r="I46" s="388"/>
      <c r="J46" s="388"/>
      <c r="K46" s="388"/>
      <c r="L46" s="388"/>
      <c r="M46" s="388"/>
      <c r="N46" s="388"/>
      <c r="O46" s="10">
        <f t="shared" si="14"/>
        <v>1365700</v>
      </c>
      <c r="P46" s="10"/>
      <c r="Q46" s="10"/>
      <c r="R46" s="10"/>
      <c r="S46" s="10"/>
      <c r="T46" s="10"/>
      <c r="U46" s="10"/>
      <c r="V46" s="10"/>
      <c r="W46" s="10"/>
      <c r="X46" s="10"/>
      <c r="Y46" s="10"/>
      <c r="AA46" s="426"/>
      <c r="AB46" s="426"/>
      <c r="AC46" s="426"/>
      <c r="AD46" s="426"/>
      <c r="AE46" s="426"/>
      <c r="AF46" s="426"/>
      <c r="AG46" s="426"/>
      <c r="AH46" s="426"/>
      <c r="AI46" s="426"/>
      <c r="AJ46" s="426"/>
      <c r="AK46" s="426"/>
      <c r="AL46" s="426"/>
      <c r="AM46" s="426"/>
      <c r="AN46" s="426"/>
      <c r="AP46" s="424"/>
      <c r="AV46" s="547"/>
      <c r="AW46" s="548"/>
      <c r="AX46" s="386"/>
      <c r="AY46" s="548"/>
      <c r="AZ46" s="386"/>
      <c r="BA46" s="387"/>
      <c r="BB46" s="386"/>
      <c r="BC46" s="387"/>
      <c r="BD46" s="386"/>
      <c r="BE46" s="387"/>
      <c r="BF46" s="386"/>
      <c r="BG46" s="387"/>
      <c r="BH46" s="386"/>
      <c r="BI46" s="387"/>
      <c r="BJ46" s="386"/>
      <c r="BK46" s="387"/>
      <c r="BL46" s="386"/>
      <c r="BM46" s="387"/>
      <c r="BN46" s="386"/>
      <c r="BO46" s="387"/>
      <c r="BP46" s="386"/>
      <c r="BQ46" s="387"/>
      <c r="BR46" s="386"/>
      <c r="BS46" s="387"/>
    </row>
    <row r="47" spans="1:72" ht="13.5" customHeight="1">
      <c r="A47" s="545">
        <v>23353508</v>
      </c>
      <c r="B47" s="635" t="s">
        <v>762</v>
      </c>
      <c r="C47" s="388"/>
      <c r="D47" s="388"/>
      <c r="E47" s="388">
        <f t="shared" ref="E47:E55" si="16">SUMIF($AZ$28:$AZ$191,$A47,$BA$28:$BA$191)</f>
        <v>595000</v>
      </c>
      <c r="F47" s="388">
        <f t="shared" ref="F47:F59" si="17">SUMIF($BB$28:$BB$191,$A47,$BC$28:$BC$191)</f>
        <v>0</v>
      </c>
      <c r="G47" s="388">
        <f t="shared" ref="G47:G59" si="18">SUMIF($BD$28:$BD$191,$A47,$BE$28:$BEC$191)</f>
        <v>0</v>
      </c>
      <c r="H47" s="388">
        <f t="shared" ref="H47:H59" si="19">SUMIF($BF$28:$BF$191,$A47,$BG$28:$BG$191)</f>
        <v>658000</v>
      </c>
      <c r="I47" s="388"/>
      <c r="J47" s="388"/>
      <c r="K47" s="388"/>
      <c r="L47" s="388"/>
      <c r="M47" s="388"/>
      <c r="N47" s="388"/>
      <c r="O47" s="10">
        <f t="shared" si="14"/>
        <v>1253000</v>
      </c>
      <c r="P47" s="10"/>
      <c r="Q47" s="10"/>
      <c r="R47" s="10"/>
      <c r="S47" s="10"/>
      <c r="T47" s="10"/>
      <c r="U47" s="10"/>
      <c r="V47" s="10"/>
      <c r="W47" s="10"/>
      <c r="X47" s="10"/>
      <c r="Y47" s="10"/>
      <c r="AA47" s="426"/>
      <c r="AB47" s="426"/>
      <c r="AC47" s="426"/>
      <c r="AD47" s="426"/>
      <c r="AE47" s="426"/>
      <c r="AF47" s="426"/>
      <c r="AG47" s="426"/>
      <c r="AH47" s="426"/>
      <c r="AI47" s="426"/>
      <c r="AJ47" s="426"/>
      <c r="AK47" s="426"/>
      <c r="AL47" s="426"/>
      <c r="AM47" s="426"/>
      <c r="AN47" s="426"/>
      <c r="AP47" s="424"/>
      <c r="AV47" s="547"/>
      <c r="AW47" s="548"/>
      <c r="AX47" s="386"/>
      <c r="AY47" s="548"/>
      <c r="AZ47" s="386"/>
      <c r="BA47" s="387"/>
      <c r="BB47" s="386" t="s">
        <v>689</v>
      </c>
      <c r="BC47" s="387">
        <v>222170</v>
      </c>
      <c r="BD47" s="386" t="s">
        <v>693</v>
      </c>
      <c r="BE47" s="387">
        <v>486987</v>
      </c>
      <c r="BF47" s="386" t="s">
        <v>695</v>
      </c>
      <c r="BG47" s="387">
        <v>561160</v>
      </c>
      <c r="BH47" s="386"/>
      <c r="BI47" s="387"/>
      <c r="BJ47" s="386"/>
      <c r="BK47" s="387"/>
      <c r="BL47" s="386"/>
      <c r="BM47" s="387"/>
      <c r="BN47" s="386"/>
      <c r="BO47" s="387"/>
      <c r="BP47" s="386"/>
      <c r="BQ47" s="387"/>
      <c r="BR47" s="386"/>
      <c r="BS47" s="387"/>
    </row>
    <row r="48" spans="1:72" ht="13.5" customHeight="1">
      <c r="A48" s="545" t="s">
        <v>580</v>
      </c>
      <c r="B48" s="546" t="s">
        <v>600</v>
      </c>
      <c r="C48" s="388">
        <f t="shared" ref="C48:C59" si="20">SUMIF($AV$28:$AV$191,$A48,$AW$28:$AW$191)</f>
        <v>5261460</v>
      </c>
      <c r="D48" s="388">
        <f t="shared" ref="D48:D61" si="21">SUMIF($AX$28:$AX$191,$A48,$AY$28:$AY$191)</f>
        <v>3510900</v>
      </c>
      <c r="E48" s="388">
        <f t="shared" si="16"/>
        <v>4407990</v>
      </c>
      <c r="F48" s="388">
        <f t="shared" si="17"/>
        <v>5836830</v>
      </c>
      <c r="G48" s="388">
        <f t="shared" si="18"/>
        <v>3817040</v>
      </c>
      <c r="H48" s="388">
        <f t="shared" si="19"/>
        <v>5407590</v>
      </c>
      <c r="I48" s="388"/>
      <c r="J48" s="388"/>
      <c r="K48" s="388"/>
      <c r="L48" s="388"/>
      <c r="M48" s="388"/>
      <c r="N48" s="388"/>
      <c r="O48" s="10">
        <f t="shared" si="14"/>
        <v>28241810</v>
      </c>
      <c r="P48" s="10"/>
      <c r="Q48" s="10"/>
      <c r="R48" s="10"/>
      <c r="S48" s="10"/>
      <c r="T48" s="10"/>
      <c r="U48" s="10"/>
      <c r="V48" s="10"/>
      <c r="W48" s="10"/>
      <c r="X48" s="10"/>
      <c r="Y48" s="10"/>
      <c r="AA48" s="426"/>
      <c r="AB48" s="426"/>
      <c r="AC48" s="426"/>
      <c r="AD48" s="426"/>
      <c r="AE48" s="426"/>
      <c r="AF48" s="426"/>
      <c r="AG48" s="426"/>
      <c r="AH48" s="426"/>
      <c r="AI48" s="426"/>
      <c r="AJ48" s="426"/>
      <c r="AK48" s="426"/>
      <c r="AL48" s="426"/>
      <c r="AM48" s="426"/>
      <c r="AN48" s="426"/>
      <c r="AP48" s="424"/>
      <c r="AV48" s="547" t="s">
        <v>613</v>
      </c>
      <c r="AW48" s="548">
        <v>1821435</v>
      </c>
      <c r="AX48" s="386" t="s">
        <v>695</v>
      </c>
      <c r="AY48" s="548">
        <v>411459</v>
      </c>
      <c r="AZ48" s="386" t="s">
        <v>689</v>
      </c>
      <c r="BA48" s="387">
        <v>156420</v>
      </c>
      <c r="BB48" s="386" t="s">
        <v>689</v>
      </c>
      <c r="BC48" s="387">
        <v>568520</v>
      </c>
      <c r="BD48" s="386" t="s">
        <v>760</v>
      </c>
      <c r="BE48" s="387">
        <v>138000</v>
      </c>
      <c r="BF48" s="386" t="s">
        <v>693</v>
      </c>
      <c r="BG48" s="387">
        <v>2768000</v>
      </c>
      <c r="BH48" s="386"/>
      <c r="BI48" s="387"/>
      <c r="BJ48" s="386"/>
      <c r="BK48" s="387"/>
      <c r="BL48" s="386"/>
      <c r="BM48" s="387"/>
      <c r="BN48" s="386"/>
      <c r="BO48" s="387"/>
      <c r="BP48" s="386"/>
      <c r="BQ48" s="387"/>
      <c r="BR48" s="386"/>
      <c r="BS48" s="387"/>
    </row>
    <row r="49" spans="1:71" ht="13.5" customHeight="1">
      <c r="A49" s="545" t="s">
        <v>581</v>
      </c>
      <c r="B49" s="546" t="s">
        <v>601</v>
      </c>
      <c r="C49" s="388">
        <f t="shared" si="20"/>
        <v>1341086</v>
      </c>
      <c r="D49" s="388">
        <f t="shared" si="21"/>
        <v>1031759</v>
      </c>
      <c r="E49" s="388">
        <f t="shared" si="16"/>
        <v>1189017</v>
      </c>
      <c r="F49" s="388">
        <f t="shared" si="17"/>
        <v>0</v>
      </c>
      <c r="G49" s="388">
        <f t="shared" si="18"/>
        <v>0</v>
      </c>
      <c r="H49" s="388">
        <f t="shared" si="19"/>
        <v>561160</v>
      </c>
      <c r="I49" s="388"/>
      <c r="J49" s="388"/>
      <c r="K49" s="388"/>
      <c r="L49" s="388"/>
      <c r="M49" s="388"/>
      <c r="N49" s="388"/>
      <c r="O49" s="10">
        <f t="shared" si="14"/>
        <v>4123022</v>
      </c>
      <c r="P49" s="10"/>
      <c r="Q49" s="10"/>
      <c r="R49" s="10"/>
      <c r="S49" s="10"/>
      <c r="T49" s="10"/>
      <c r="U49" s="10"/>
      <c r="V49" s="10"/>
      <c r="W49" s="10"/>
      <c r="X49" s="10"/>
      <c r="Y49" s="10"/>
      <c r="AA49" s="426"/>
      <c r="AB49" s="426"/>
      <c r="AC49" s="426"/>
      <c r="AD49" s="426"/>
      <c r="AE49" s="426"/>
      <c r="AF49" s="426"/>
      <c r="AG49" s="426"/>
      <c r="AH49" s="426"/>
      <c r="AI49" s="426"/>
      <c r="AJ49" s="426"/>
      <c r="AK49" s="426"/>
      <c r="AL49" s="426"/>
      <c r="AM49" s="426"/>
      <c r="AN49" s="426"/>
      <c r="AP49" s="424"/>
      <c r="AV49" s="547" t="s">
        <v>613</v>
      </c>
      <c r="AW49" s="548">
        <v>1699745</v>
      </c>
      <c r="AX49" s="386" t="s">
        <v>695</v>
      </c>
      <c r="AY49" s="548">
        <v>471450</v>
      </c>
      <c r="AZ49" s="386" t="s">
        <v>689</v>
      </c>
      <c r="BA49" s="387">
        <v>147000</v>
      </c>
      <c r="BB49" s="386" t="s">
        <v>689</v>
      </c>
      <c r="BC49" s="387">
        <v>3435980</v>
      </c>
      <c r="BD49" s="386">
        <v>2365</v>
      </c>
      <c r="BE49" s="387">
        <v>144251</v>
      </c>
      <c r="BF49" s="386" t="s">
        <v>689</v>
      </c>
      <c r="BG49" s="387">
        <v>205050</v>
      </c>
      <c r="BH49" s="386"/>
      <c r="BI49" s="387"/>
      <c r="BJ49" s="386"/>
      <c r="BK49" s="387"/>
      <c r="BL49" s="386"/>
      <c r="BM49" s="387"/>
      <c r="BN49" s="386"/>
      <c r="BO49" s="387"/>
      <c r="BP49" s="386"/>
      <c r="BQ49" s="387"/>
      <c r="BR49" s="386"/>
      <c r="BS49" s="387"/>
    </row>
    <row r="50" spans="1:71" ht="13.5" customHeight="1">
      <c r="A50" s="545" t="s">
        <v>582</v>
      </c>
      <c r="B50" s="546" t="s">
        <v>602</v>
      </c>
      <c r="C50" s="388">
        <f t="shared" si="20"/>
        <v>4025617</v>
      </c>
      <c r="D50" s="388">
        <f t="shared" si="21"/>
        <v>11635130</v>
      </c>
      <c r="E50" s="388">
        <f t="shared" si="16"/>
        <v>5043734</v>
      </c>
      <c r="F50" s="388">
        <f t="shared" si="17"/>
        <v>0</v>
      </c>
      <c r="G50" s="388">
        <f t="shared" si="18"/>
        <v>1389990</v>
      </c>
      <c r="H50" s="388">
        <f t="shared" si="19"/>
        <v>3188500</v>
      </c>
      <c r="I50" s="388"/>
      <c r="J50" s="388"/>
      <c r="K50" s="388"/>
      <c r="L50" s="388"/>
      <c r="M50" s="388"/>
      <c r="N50" s="388"/>
      <c r="O50" s="10">
        <f t="shared" si="14"/>
        <v>25282971</v>
      </c>
      <c r="P50" s="10"/>
      <c r="Q50" s="10"/>
      <c r="R50" s="10"/>
      <c r="S50" s="10"/>
      <c r="T50" s="10"/>
      <c r="U50" s="10"/>
      <c r="V50" s="10"/>
      <c r="W50" s="10"/>
      <c r="X50" s="10"/>
      <c r="Y50" s="10"/>
      <c r="AA50" s="426"/>
      <c r="AB50" s="426"/>
      <c r="AC50" s="426"/>
      <c r="AD50" s="426"/>
      <c r="AE50" s="426"/>
      <c r="AF50" s="426"/>
      <c r="AG50" s="426"/>
      <c r="AH50" s="426"/>
      <c r="AI50" s="426"/>
      <c r="AJ50" s="426"/>
      <c r="AK50" s="426"/>
      <c r="AL50" s="426"/>
      <c r="AM50" s="426"/>
      <c r="AN50" s="426"/>
      <c r="AP50" s="424"/>
      <c r="AV50" s="547" t="s">
        <v>613</v>
      </c>
      <c r="AW50" s="548">
        <v>121690</v>
      </c>
      <c r="AX50" s="386" t="s">
        <v>694</v>
      </c>
      <c r="AY50" s="548">
        <v>37987</v>
      </c>
      <c r="AZ50" s="386" t="s">
        <v>689</v>
      </c>
      <c r="BA50" s="387">
        <v>166400</v>
      </c>
      <c r="BB50" s="386" t="s">
        <v>689</v>
      </c>
      <c r="BC50" s="387">
        <v>162760</v>
      </c>
      <c r="BD50" s="386">
        <v>2365</v>
      </c>
      <c r="BE50" s="387">
        <v>-251</v>
      </c>
      <c r="BF50" s="386" t="s">
        <v>689</v>
      </c>
      <c r="BG50" s="387">
        <v>145610</v>
      </c>
      <c r="BH50" s="386"/>
      <c r="BI50" s="387"/>
      <c r="BJ50" s="386"/>
      <c r="BK50" s="387"/>
      <c r="BL50" s="386"/>
      <c r="BM50" s="387"/>
      <c r="BN50" s="386"/>
      <c r="BO50" s="387"/>
      <c r="BP50" s="386"/>
      <c r="BQ50" s="387"/>
      <c r="BR50" s="386"/>
      <c r="BS50" s="387"/>
    </row>
    <row r="51" spans="1:71" ht="13.5" customHeight="1">
      <c r="A51" s="545" t="s">
        <v>583</v>
      </c>
      <c r="B51" s="546" t="s">
        <v>603</v>
      </c>
      <c r="C51" s="388">
        <f t="shared" si="20"/>
        <v>0</v>
      </c>
      <c r="D51" s="388">
        <f t="shared" si="21"/>
        <v>1511977</v>
      </c>
      <c r="E51" s="388">
        <f t="shared" si="16"/>
        <v>18409448</v>
      </c>
      <c r="F51" s="388">
        <f t="shared" si="17"/>
        <v>191000</v>
      </c>
      <c r="G51" s="388">
        <f t="shared" si="18"/>
        <v>535100</v>
      </c>
      <c r="H51" s="388">
        <f t="shared" si="19"/>
        <v>63650</v>
      </c>
      <c r="I51" s="388"/>
      <c r="J51" s="388"/>
      <c r="K51" s="388"/>
      <c r="L51" s="388"/>
      <c r="M51" s="388"/>
      <c r="N51" s="388"/>
      <c r="O51" s="10">
        <f t="shared" si="14"/>
        <v>20711175</v>
      </c>
      <c r="P51" s="10"/>
      <c r="Q51" s="10"/>
      <c r="R51" s="10"/>
      <c r="S51" s="10"/>
      <c r="T51" s="10"/>
      <c r="U51" s="10"/>
      <c r="V51" s="10"/>
      <c r="W51" s="10"/>
      <c r="X51" s="10"/>
      <c r="Y51" s="10"/>
      <c r="AA51" s="426"/>
      <c r="AB51" s="426"/>
      <c r="AC51" s="426"/>
      <c r="AD51" s="426"/>
      <c r="AE51" s="426"/>
      <c r="AF51" s="426"/>
      <c r="AG51" s="426"/>
      <c r="AH51" s="426"/>
      <c r="AI51" s="426"/>
      <c r="AJ51" s="426"/>
      <c r="AK51" s="426"/>
      <c r="AL51" s="426"/>
      <c r="AM51" s="426"/>
      <c r="AN51" s="426"/>
      <c r="AP51" s="424"/>
      <c r="AV51" s="547" t="s">
        <v>613</v>
      </c>
      <c r="AW51" s="548">
        <v>91870</v>
      </c>
      <c r="AX51" s="386" t="s">
        <v>689</v>
      </c>
      <c r="AY51" s="548">
        <v>2706700</v>
      </c>
      <c r="AZ51" s="386" t="s">
        <v>689</v>
      </c>
      <c r="BA51" s="387">
        <v>233520</v>
      </c>
      <c r="BB51" s="386" t="s">
        <v>689</v>
      </c>
      <c r="BC51" s="387">
        <v>214720</v>
      </c>
      <c r="BD51" s="386" t="s">
        <v>698</v>
      </c>
      <c r="BE51" s="387">
        <v>350474</v>
      </c>
      <c r="BF51" s="386" t="s">
        <v>689</v>
      </c>
      <c r="BG51" s="387">
        <v>131220</v>
      </c>
      <c r="BH51" s="386"/>
      <c r="BI51" s="387"/>
      <c r="BJ51" s="386"/>
      <c r="BK51" s="387"/>
      <c r="BL51" s="386"/>
      <c r="BM51" s="387"/>
      <c r="BN51" s="386"/>
      <c r="BO51" s="387"/>
      <c r="BP51" s="386"/>
      <c r="BQ51" s="387"/>
      <c r="BR51" s="386"/>
      <c r="BS51" s="387"/>
    </row>
    <row r="52" spans="1:71" ht="13.5" customHeight="1">
      <c r="A52" s="545">
        <v>233507</v>
      </c>
      <c r="B52" s="635" t="s">
        <v>1019</v>
      </c>
      <c r="C52" s="388">
        <f t="shared" si="20"/>
        <v>0</v>
      </c>
      <c r="D52" s="388">
        <f t="shared" si="21"/>
        <v>0</v>
      </c>
      <c r="E52" s="388">
        <f t="shared" si="16"/>
        <v>0</v>
      </c>
      <c r="F52" s="388">
        <f t="shared" si="17"/>
        <v>210000</v>
      </c>
      <c r="G52" s="388">
        <f t="shared" si="18"/>
        <v>0</v>
      </c>
      <c r="H52" s="388">
        <f t="shared" si="19"/>
        <v>1153613</v>
      </c>
      <c r="I52" s="388"/>
      <c r="J52" s="388"/>
      <c r="K52" s="388"/>
      <c r="L52" s="388"/>
      <c r="M52" s="388"/>
      <c r="N52" s="388"/>
      <c r="O52" s="10">
        <f t="shared" si="14"/>
        <v>1363613</v>
      </c>
      <c r="P52" s="10"/>
      <c r="Q52" s="10"/>
      <c r="R52" s="10"/>
      <c r="S52" s="10"/>
      <c r="T52" s="10"/>
      <c r="U52" s="10"/>
      <c r="V52" s="10"/>
      <c r="W52" s="10"/>
      <c r="X52" s="10"/>
      <c r="Y52" s="10"/>
      <c r="AA52" s="426"/>
      <c r="AB52" s="426"/>
      <c r="AC52" s="426"/>
      <c r="AD52" s="426"/>
      <c r="AE52" s="426"/>
      <c r="AF52" s="426"/>
      <c r="AG52" s="426"/>
      <c r="AH52" s="426"/>
      <c r="AI52" s="426"/>
      <c r="AJ52" s="426"/>
      <c r="AK52" s="426"/>
      <c r="AL52" s="426"/>
      <c r="AM52" s="426"/>
      <c r="AN52" s="426"/>
      <c r="AP52" s="424"/>
      <c r="AV52" s="547" t="s">
        <v>613</v>
      </c>
      <c r="AW52" s="548">
        <v>391599</v>
      </c>
      <c r="AX52" s="386" t="s">
        <v>696</v>
      </c>
      <c r="AY52" s="548">
        <v>41918824</v>
      </c>
      <c r="AZ52" s="386" t="s">
        <v>689</v>
      </c>
      <c r="BA52" s="387">
        <v>215060</v>
      </c>
      <c r="BB52" s="386" t="s">
        <v>696</v>
      </c>
      <c r="BC52" s="387">
        <v>41918824</v>
      </c>
      <c r="BD52" s="386" t="s">
        <v>698</v>
      </c>
      <c r="BE52" s="387">
        <v>2162000</v>
      </c>
      <c r="BF52" s="386" t="s">
        <v>689</v>
      </c>
      <c r="BG52" s="387">
        <v>143950</v>
      </c>
      <c r="BH52" s="386"/>
      <c r="BI52" s="387"/>
      <c r="BJ52" s="386"/>
      <c r="BK52" s="387"/>
      <c r="BL52" s="386"/>
      <c r="BM52" s="387"/>
      <c r="BN52" s="386"/>
      <c r="BO52" s="387"/>
      <c r="BP52" s="386"/>
      <c r="BQ52" s="387"/>
      <c r="BR52" s="386"/>
      <c r="BS52" s="387"/>
    </row>
    <row r="53" spans="1:71" ht="13.5" customHeight="1">
      <c r="A53" s="545" t="s">
        <v>584</v>
      </c>
      <c r="B53" s="546" t="s">
        <v>604</v>
      </c>
      <c r="C53" s="388">
        <f t="shared" si="20"/>
        <v>1668580</v>
      </c>
      <c r="D53" s="388">
        <f t="shared" si="21"/>
        <v>0</v>
      </c>
      <c r="E53" s="388">
        <f t="shared" si="16"/>
        <v>0</v>
      </c>
      <c r="F53" s="388">
        <f t="shared" si="17"/>
        <v>0</v>
      </c>
      <c r="G53" s="388">
        <f t="shared" si="18"/>
        <v>0</v>
      </c>
      <c r="H53" s="388">
        <f t="shared" si="19"/>
        <v>0</v>
      </c>
      <c r="I53" s="388"/>
      <c r="J53" s="388"/>
      <c r="K53" s="388"/>
      <c r="L53" s="388"/>
      <c r="M53" s="388"/>
      <c r="N53" s="388"/>
      <c r="O53" s="10">
        <f t="shared" si="14"/>
        <v>1668580</v>
      </c>
      <c r="P53" s="10"/>
      <c r="Q53" s="10"/>
      <c r="R53" s="10"/>
      <c r="S53" s="10"/>
      <c r="T53" s="10"/>
      <c r="U53" s="10"/>
      <c r="V53" s="10"/>
      <c r="W53" s="10"/>
      <c r="X53" s="10"/>
      <c r="Y53" s="10"/>
      <c r="AA53" s="426"/>
      <c r="AB53" s="426"/>
      <c r="AC53" s="426"/>
      <c r="AD53" s="426"/>
      <c r="AE53" s="426"/>
      <c r="AF53" s="426"/>
      <c r="AG53" s="426"/>
      <c r="AH53" s="426"/>
      <c r="AI53" s="426"/>
      <c r="AJ53" s="426"/>
      <c r="AK53" s="426"/>
      <c r="AL53" s="426"/>
      <c r="AM53" s="426"/>
      <c r="AN53" s="426"/>
      <c r="AP53" s="424"/>
      <c r="AV53" s="547" t="s">
        <v>613</v>
      </c>
      <c r="AW53" s="548">
        <v>299705</v>
      </c>
      <c r="AX53" s="386" t="s">
        <v>697</v>
      </c>
      <c r="AY53" s="548">
        <v>141000</v>
      </c>
      <c r="AZ53" s="386" t="s">
        <v>689</v>
      </c>
      <c r="BA53" s="387">
        <v>465170</v>
      </c>
      <c r="BB53" s="386" t="s">
        <v>760</v>
      </c>
      <c r="BC53" s="387">
        <v>138000</v>
      </c>
      <c r="BD53" s="386" t="s">
        <v>699</v>
      </c>
      <c r="BE53" s="387">
        <v>270588</v>
      </c>
      <c r="BF53" s="386" t="s">
        <v>689</v>
      </c>
      <c r="BG53" s="387">
        <v>502720</v>
      </c>
      <c r="BH53" s="386"/>
      <c r="BI53" s="387"/>
      <c r="BJ53" s="386"/>
      <c r="BK53" s="387"/>
      <c r="BL53" s="386"/>
      <c r="BM53" s="387"/>
      <c r="BN53" s="386"/>
      <c r="BO53" s="387"/>
      <c r="BP53" s="386"/>
      <c r="BQ53" s="387"/>
      <c r="BR53" s="386"/>
      <c r="BS53" s="387"/>
    </row>
    <row r="54" spans="1:71" ht="13.5" customHeight="1">
      <c r="A54" s="545" t="s">
        <v>585</v>
      </c>
      <c r="B54" s="546" t="s">
        <v>605</v>
      </c>
      <c r="C54" s="388">
        <f t="shared" si="20"/>
        <v>138000</v>
      </c>
      <c r="D54" s="388">
        <f t="shared" si="21"/>
        <v>0</v>
      </c>
      <c r="E54" s="388">
        <f t="shared" si="16"/>
        <v>0</v>
      </c>
      <c r="F54" s="388">
        <f t="shared" si="17"/>
        <v>0</v>
      </c>
      <c r="G54" s="388">
        <f t="shared" si="18"/>
        <v>0</v>
      </c>
      <c r="H54" s="388">
        <f t="shared" si="19"/>
        <v>0</v>
      </c>
      <c r="I54" s="388"/>
      <c r="J54" s="388"/>
      <c r="K54" s="388"/>
      <c r="L54" s="388"/>
      <c r="M54" s="388"/>
      <c r="N54" s="388"/>
      <c r="O54" s="10">
        <f t="shared" ref="O54" si="22">SUM(C54:N54)</f>
        <v>138000</v>
      </c>
      <c r="P54" s="10"/>
      <c r="Q54" s="10"/>
      <c r="R54" s="10"/>
      <c r="S54" s="10"/>
      <c r="T54" s="10"/>
      <c r="U54" s="10"/>
      <c r="V54" s="10"/>
      <c r="W54" s="10"/>
      <c r="X54" s="10"/>
      <c r="Y54" s="10"/>
      <c r="AA54" s="426"/>
      <c r="AB54" s="426"/>
      <c r="AC54" s="426"/>
      <c r="AD54" s="426"/>
      <c r="AE54" s="426"/>
      <c r="AF54" s="426"/>
      <c r="AG54" s="426"/>
      <c r="AH54" s="426"/>
      <c r="AI54" s="426"/>
      <c r="AJ54" s="426"/>
      <c r="AK54" s="426"/>
      <c r="AL54" s="426"/>
      <c r="AM54" s="426"/>
      <c r="AN54" s="426"/>
      <c r="AP54" s="424"/>
      <c r="AV54" s="547" t="s">
        <v>613</v>
      </c>
      <c r="AW54" s="548">
        <v>126720</v>
      </c>
      <c r="AX54" s="386" t="s">
        <v>693</v>
      </c>
      <c r="AY54" s="548">
        <v>4962750</v>
      </c>
      <c r="AZ54" s="386" t="s">
        <v>689</v>
      </c>
      <c r="BA54" s="387">
        <v>2664630</v>
      </c>
      <c r="BB54" s="386">
        <v>2365</v>
      </c>
      <c r="BC54" s="387">
        <v>29590</v>
      </c>
      <c r="BD54" s="386" t="s">
        <v>689</v>
      </c>
      <c r="BE54" s="387">
        <v>67260</v>
      </c>
      <c r="BF54" s="386" t="s">
        <v>689</v>
      </c>
      <c r="BG54" s="387">
        <v>194430</v>
      </c>
      <c r="BH54" s="386"/>
      <c r="BI54" s="387"/>
      <c r="BJ54" s="386"/>
      <c r="BK54" s="387"/>
      <c r="BL54" s="386"/>
      <c r="BM54" s="387"/>
      <c r="BN54" s="386"/>
      <c r="BO54" s="387"/>
      <c r="BP54" s="386"/>
      <c r="BQ54" s="387"/>
      <c r="BR54" s="386"/>
      <c r="BS54" s="387"/>
    </row>
    <row r="55" spans="1:71" ht="13.5" customHeight="1">
      <c r="A55" s="545">
        <v>2365</v>
      </c>
      <c r="B55" s="546" t="s">
        <v>44</v>
      </c>
      <c r="C55" s="388">
        <f t="shared" si="20"/>
        <v>1345000</v>
      </c>
      <c r="D55" s="388">
        <f t="shared" si="21"/>
        <v>280000</v>
      </c>
      <c r="E55" s="388">
        <f t="shared" si="16"/>
        <v>197000</v>
      </c>
      <c r="F55" s="388">
        <f t="shared" si="17"/>
        <v>865000</v>
      </c>
      <c r="G55" s="388">
        <f t="shared" si="18"/>
        <v>144000</v>
      </c>
      <c r="H55" s="388">
        <f t="shared" si="19"/>
        <v>756000</v>
      </c>
      <c r="I55" s="388"/>
      <c r="J55" s="388"/>
      <c r="K55" s="388"/>
      <c r="L55" s="388"/>
      <c r="M55" s="388"/>
      <c r="N55" s="388"/>
      <c r="O55" s="10">
        <f t="shared" si="14"/>
        <v>3587000</v>
      </c>
      <c r="P55" s="10"/>
      <c r="Q55" s="10"/>
      <c r="R55" s="10"/>
      <c r="S55" s="10"/>
      <c r="T55" s="10"/>
      <c r="U55" s="10"/>
      <c r="V55" s="10"/>
      <c r="W55" s="10"/>
      <c r="X55" s="10"/>
      <c r="Y55" s="10"/>
      <c r="AA55" s="426"/>
      <c r="AB55" s="426"/>
      <c r="AC55" s="426"/>
      <c r="AD55" s="426"/>
      <c r="AE55" s="426"/>
      <c r="AF55" s="426"/>
      <c r="AG55" s="426"/>
      <c r="AH55" s="426"/>
      <c r="AI55" s="426"/>
      <c r="AJ55" s="426"/>
      <c r="AK55" s="426"/>
      <c r="AL55" s="426"/>
      <c r="AM55" s="426"/>
      <c r="AN55" s="426"/>
      <c r="AP55" s="424"/>
      <c r="AV55" s="547" t="s">
        <v>613</v>
      </c>
      <c r="AW55" s="548">
        <v>100615</v>
      </c>
      <c r="AX55" s="386">
        <v>2365</v>
      </c>
      <c r="AY55" s="548">
        <v>252336</v>
      </c>
      <c r="AZ55" s="386" t="s">
        <v>689</v>
      </c>
      <c r="BA55" s="387">
        <v>166400</v>
      </c>
      <c r="BB55" s="386">
        <v>2365</v>
      </c>
      <c r="BC55" s="387">
        <v>477</v>
      </c>
      <c r="BD55" s="386" t="s">
        <v>689</v>
      </c>
      <c r="BE55" s="387">
        <v>126130</v>
      </c>
      <c r="BF55" s="386" t="s">
        <v>689</v>
      </c>
      <c r="BG55" s="387">
        <v>3056190</v>
      </c>
      <c r="BH55" s="386"/>
      <c r="BI55" s="387"/>
      <c r="BJ55" s="386"/>
      <c r="BK55" s="387"/>
      <c r="BL55" s="386"/>
      <c r="BM55" s="387"/>
      <c r="BN55" s="386"/>
      <c r="BO55" s="387"/>
      <c r="BP55" s="386"/>
      <c r="BQ55" s="387"/>
      <c r="BR55" s="386"/>
      <c r="BS55" s="387"/>
    </row>
    <row r="56" spans="1:71" ht="13.5" hidden="1" customHeight="1">
      <c r="A56" s="545" t="s">
        <v>586</v>
      </c>
      <c r="B56" s="546" t="s">
        <v>606</v>
      </c>
      <c r="C56" s="388">
        <f t="shared" si="20"/>
        <v>0</v>
      </c>
      <c r="D56" s="388">
        <f t="shared" si="21"/>
        <v>0</v>
      </c>
      <c r="E56" s="10"/>
      <c r="F56" s="388">
        <f t="shared" si="17"/>
        <v>0</v>
      </c>
      <c r="G56" s="388">
        <f t="shared" si="18"/>
        <v>0</v>
      </c>
      <c r="H56" s="388">
        <f t="shared" si="19"/>
        <v>0</v>
      </c>
      <c r="I56" s="388"/>
      <c r="J56" s="388"/>
      <c r="K56" s="388"/>
      <c r="L56" s="388"/>
      <c r="M56" s="388"/>
      <c r="N56" s="388"/>
      <c r="O56" s="10">
        <f t="shared" si="14"/>
        <v>0</v>
      </c>
      <c r="P56" s="10"/>
      <c r="Q56" s="10"/>
      <c r="R56" s="10"/>
      <c r="S56" s="10"/>
      <c r="T56" s="10"/>
      <c r="U56" s="10"/>
      <c r="V56" s="10"/>
      <c r="W56" s="10"/>
      <c r="X56" s="10"/>
      <c r="Y56" s="10"/>
      <c r="AA56" s="426"/>
      <c r="AB56" s="426"/>
      <c r="AC56" s="426"/>
      <c r="AD56" s="426"/>
      <c r="AE56" s="426"/>
      <c r="AF56" s="426"/>
      <c r="AG56" s="426"/>
      <c r="AH56" s="426"/>
      <c r="AI56" s="426"/>
      <c r="AJ56" s="426"/>
      <c r="AK56" s="426"/>
      <c r="AL56" s="426"/>
      <c r="AM56" s="426"/>
      <c r="AN56" s="426"/>
      <c r="AP56" s="424"/>
      <c r="AV56" s="547" t="s">
        <v>613</v>
      </c>
      <c r="AW56" s="548">
        <v>93690</v>
      </c>
      <c r="AX56" s="386">
        <v>2365</v>
      </c>
      <c r="AY56" s="548">
        <v>28002</v>
      </c>
      <c r="AZ56" s="386" t="s">
        <v>696</v>
      </c>
      <c r="BA56" s="387">
        <v>41918824</v>
      </c>
      <c r="BB56" s="386">
        <v>2365</v>
      </c>
      <c r="BC56" s="387">
        <v>513933</v>
      </c>
      <c r="BD56" s="386" t="s">
        <v>693</v>
      </c>
      <c r="BE56" s="387">
        <v>80000</v>
      </c>
      <c r="BF56" s="386" t="s">
        <v>696</v>
      </c>
      <c r="BG56" s="387">
        <v>32987648</v>
      </c>
      <c r="BH56" s="386"/>
      <c r="BI56" s="387"/>
      <c r="BJ56" s="386"/>
      <c r="BK56" s="387"/>
      <c r="BL56" s="386"/>
      <c r="BM56" s="387"/>
      <c r="BN56" s="386"/>
      <c r="BO56" s="387"/>
      <c r="BP56" s="386"/>
      <c r="BQ56" s="387"/>
      <c r="BR56" s="386"/>
      <c r="BS56" s="387"/>
    </row>
    <row r="57" spans="1:71" ht="13.5" hidden="1" customHeight="1">
      <c r="A57" s="545" t="s">
        <v>587</v>
      </c>
      <c r="B57" s="635" t="s">
        <v>1111</v>
      </c>
      <c r="C57" s="388">
        <f t="shared" si="20"/>
        <v>0</v>
      </c>
      <c r="D57" s="388">
        <f t="shared" si="21"/>
        <v>0</v>
      </c>
      <c r="E57" s="10"/>
      <c r="F57" s="388">
        <f t="shared" si="17"/>
        <v>0</v>
      </c>
      <c r="G57" s="388">
        <f t="shared" si="18"/>
        <v>0</v>
      </c>
      <c r="H57" s="388">
        <f t="shared" si="19"/>
        <v>0</v>
      </c>
      <c r="I57" s="388"/>
      <c r="J57" s="388"/>
      <c r="K57" s="388"/>
      <c r="L57" s="388"/>
      <c r="M57" s="388"/>
      <c r="N57" s="388"/>
      <c r="O57" s="10">
        <f t="shared" si="14"/>
        <v>0</v>
      </c>
      <c r="P57" s="10"/>
      <c r="Q57" s="10"/>
      <c r="R57" s="10"/>
      <c r="S57" s="10"/>
      <c r="T57" s="10"/>
      <c r="U57" s="10"/>
      <c r="V57" s="10"/>
      <c r="W57" s="10"/>
      <c r="X57" s="10"/>
      <c r="Y57" s="10"/>
      <c r="AA57" s="426"/>
      <c r="AB57" s="426"/>
      <c r="AC57" s="426"/>
      <c r="AD57" s="426"/>
      <c r="AE57" s="426"/>
      <c r="AF57" s="426"/>
      <c r="AG57" s="426"/>
      <c r="AH57" s="426"/>
      <c r="AI57" s="426"/>
      <c r="AJ57" s="426"/>
      <c r="AK57" s="426"/>
      <c r="AL57" s="426"/>
      <c r="AM57" s="426"/>
      <c r="AN57" s="426"/>
      <c r="AP57" s="424"/>
      <c r="AV57" s="547" t="s">
        <v>613</v>
      </c>
      <c r="AW57" s="548">
        <v>321001</v>
      </c>
      <c r="AX57" s="386">
        <v>2365</v>
      </c>
      <c r="AY57" s="548">
        <v>-338</v>
      </c>
      <c r="AZ57" s="386" t="s">
        <v>697</v>
      </c>
      <c r="BA57" s="387">
        <v>2680000</v>
      </c>
      <c r="BB57" s="386">
        <v>2365</v>
      </c>
      <c r="BC57" s="387">
        <v>321000</v>
      </c>
      <c r="BD57" s="386" t="s">
        <v>693</v>
      </c>
      <c r="BE57" s="387">
        <v>60000</v>
      </c>
      <c r="BF57" s="386" t="s">
        <v>697</v>
      </c>
      <c r="BG57" s="387">
        <v>480000</v>
      </c>
      <c r="BH57" s="386"/>
      <c r="BI57" s="387"/>
      <c r="BJ57" s="386"/>
      <c r="BK57" s="387"/>
      <c r="BL57" s="386"/>
      <c r="BM57" s="387"/>
      <c r="BN57" s="386"/>
      <c r="BO57" s="387"/>
      <c r="BP57" s="386"/>
      <c r="BQ57" s="387"/>
      <c r="BR57" s="386"/>
      <c r="BS57" s="387"/>
    </row>
    <row r="58" spans="1:71" ht="13.5" hidden="1" customHeight="1">
      <c r="A58" s="545" t="s">
        <v>588</v>
      </c>
      <c r="B58" s="546" t="s">
        <v>607</v>
      </c>
      <c r="C58" s="388">
        <f t="shared" si="20"/>
        <v>0</v>
      </c>
      <c r="D58" s="388">
        <f t="shared" si="21"/>
        <v>0</v>
      </c>
      <c r="E58" s="10"/>
      <c r="F58" s="388">
        <f t="shared" si="17"/>
        <v>0</v>
      </c>
      <c r="G58" s="388">
        <f t="shared" si="18"/>
        <v>0</v>
      </c>
      <c r="H58" s="388">
        <f t="shared" si="19"/>
        <v>0</v>
      </c>
      <c r="I58" s="388"/>
      <c r="J58" s="388"/>
      <c r="K58" s="388"/>
      <c r="L58" s="388"/>
      <c r="M58" s="388"/>
      <c r="N58" s="388"/>
      <c r="O58" s="10">
        <f t="shared" si="14"/>
        <v>0</v>
      </c>
      <c r="P58" s="10"/>
      <c r="Q58" s="10"/>
      <c r="R58" s="10"/>
      <c r="S58" s="10"/>
      <c r="T58" s="10"/>
      <c r="U58" s="10"/>
      <c r="V58" s="10"/>
      <c r="W58" s="10"/>
      <c r="X58" s="10"/>
      <c r="Y58" s="10"/>
      <c r="AA58" s="426"/>
      <c r="AB58" s="426"/>
      <c r="AC58" s="426"/>
      <c r="AD58" s="426"/>
      <c r="AE58" s="426"/>
      <c r="AF58" s="426"/>
      <c r="AG58" s="426"/>
      <c r="AH58" s="426"/>
      <c r="AI58" s="426"/>
      <c r="AJ58" s="426"/>
      <c r="AK58" s="426"/>
      <c r="AL58" s="426"/>
      <c r="AM58" s="426"/>
      <c r="AN58" s="426"/>
      <c r="AP58" s="424"/>
      <c r="AV58" s="547" t="s">
        <v>614</v>
      </c>
      <c r="AW58" s="548">
        <v>183740</v>
      </c>
      <c r="AX58" s="386" t="s">
        <v>698</v>
      </c>
      <c r="AY58" s="548">
        <v>350474</v>
      </c>
      <c r="AZ58" s="386" t="s">
        <v>697</v>
      </c>
      <c r="BA58" s="387">
        <v>1519000</v>
      </c>
      <c r="BB58" s="386" t="s">
        <v>699</v>
      </c>
      <c r="BC58" s="387">
        <v>1101681</v>
      </c>
      <c r="BD58" s="386" t="s">
        <v>693</v>
      </c>
      <c r="BE58" s="387">
        <v>50000</v>
      </c>
      <c r="BF58" s="386" t="s">
        <v>697</v>
      </c>
      <c r="BG58" s="387">
        <v>550000</v>
      </c>
      <c r="BH58" s="386"/>
      <c r="BI58" s="387"/>
      <c r="BJ58" s="386"/>
      <c r="BK58" s="387"/>
      <c r="BL58" s="386"/>
      <c r="BM58" s="387"/>
      <c r="BN58" s="386"/>
      <c r="BO58" s="387"/>
      <c r="BP58" s="386"/>
      <c r="BQ58" s="387"/>
      <c r="BR58" s="386"/>
      <c r="BS58" s="387"/>
    </row>
    <row r="59" spans="1:71" ht="13.5" hidden="1" customHeight="1">
      <c r="A59" s="545">
        <v>331004</v>
      </c>
      <c r="B59" s="546" t="s">
        <v>589</v>
      </c>
      <c r="C59" s="388">
        <f t="shared" si="20"/>
        <v>0</v>
      </c>
      <c r="D59" s="388">
        <f t="shared" si="21"/>
        <v>0</v>
      </c>
      <c r="E59" s="10"/>
      <c r="F59" s="388">
        <f t="shared" si="17"/>
        <v>0</v>
      </c>
      <c r="G59" s="388">
        <f t="shared" si="18"/>
        <v>0</v>
      </c>
      <c r="H59" s="388">
        <f t="shared" si="19"/>
        <v>0</v>
      </c>
      <c r="I59" s="388"/>
      <c r="J59" s="388"/>
      <c r="K59" s="388"/>
      <c r="L59" s="388"/>
      <c r="M59" s="388"/>
      <c r="N59" s="388"/>
      <c r="O59" s="10">
        <f t="shared" si="14"/>
        <v>0</v>
      </c>
      <c r="P59" s="10"/>
      <c r="Q59" s="10"/>
      <c r="R59" s="10"/>
      <c r="S59" s="10"/>
      <c r="T59" s="10"/>
      <c r="U59" s="10"/>
      <c r="V59" s="10"/>
      <c r="W59" s="10"/>
      <c r="X59" s="10"/>
      <c r="Y59" s="10"/>
      <c r="AA59" s="426"/>
      <c r="AB59" s="426"/>
      <c r="AC59" s="426"/>
      <c r="AD59" s="426"/>
      <c r="AE59" s="426"/>
      <c r="AF59" s="426"/>
      <c r="AG59" s="426"/>
      <c r="AH59" s="426"/>
      <c r="AI59" s="426"/>
      <c r="AJ59" s="426"/>
      <c r="AK59" s="426"/>
      <c r="AL59" s="426"/>
      <c r="AM59" s="426"/>
      <c r="AN59" s="426"/>
      <c r="AP59" s="424"/>
      <c r="AV59" s="547" t="s">
        <v>614</v>
      </c>
      <c r="AW59" s="548">
        <v>599410</v>
      </c>
      <c r="AX59" s="386" t="s">
        <v>699</v>
      </c>
      <c r="AY59" s="548">
        <v>270588</v>
      </c>
      <c r="AZ59" s="386" t="s">
        <v>760</v>
      </c>
      <c r="BA59" s="387">
        <v>138000</v>
      </c>
      <c r="BB59" s="386" t="s">
        <v>699</v>
      </c>
      <c r="BC59" s="387">
        <v>270588</v>
      </c>
      <c r="BD59" s="386" t="s">
        <v>689</v>
      </c>
      <c r="BE59" s="387">
        <v>3790</v>
      </c>
      <c r="BF59" s="386" t="s">
        <v>760</v>
      </c>
      <c r="BG59" s="387">
        <v>138000</v>
      </c>
      <c r="BH59" s="386"/>
      <c r="BI59" s="387"/>
      <c r="BJ59" s="386"/>
      <c r="BK59" s="387"/>
      <c r="BL59" s="386"/>
      <c r="BM59" s="387"/>
      <c r="BN59" s="386"/>
      <c r="BO59" s="387"/>
      <c r="BP59" s="386"/>
      <c r="BQ59" s="387"/>
      <c r="BR59" s="386"/>
      <c r="BS59" s="387"/>
    </row>
    <row r="60" spans="1:71" ht="13.5" customHeight="1">
      <c r="A60" s="545">
        <v>530505</v>
      </c>
      <c r="B60" s="546" t="s">
        <v>47</v>
      </c>
      <c r="C60" s="10">
        <v>101444</v>
      </c>
      <c r="D60" s="388">
        <f t="shared" si="21"/>
        <v>0</v>
      </c>
      <c r="E60" s="10">
        <v>128817</v>
      </c>
      <c r="F60" s="388">
        <v>25846</v>
      </c>
      <c r="G60" s="388">
        <v>40244</v>
      </c>
      <c r="H60" s="388">
        <v>30096</v>
      </c>
      <c r="I60" s="388"/>
      <c r="J60" s="388"/>
      <c r="K60" s="388"/>
      <c r="L60" s="388"/>
      <c r="M60" s="388"/>
      <c r="N60" s="388"/>
      <c r="O60" s="10">
        <f>SUM(C60:N60)</f>
        <v>326447</v>
      </c>
      <c r="P60" s="10"/>
      <c r="Q60" s="10"/>
      <c r="R60" s="10"/>
      <c r="S60" s="10"/>
      <c r="T60" s="10"/>
      <c r="U60" s="10"/>
      <c r="V60" s="10"/>
      <c r="W60" s="10"/>
      <c r="X60" s="10"/>
      <c r="Y60" s="10"/>
      <c r="AA60" s="426"/>
      <c r="AB60" s="426"/>
      <c r="AC60" s="426"/>
      <c r="AD60" s="426"/>
      <c r="AE60" s="426"/>
      <c r="AF60" s="426"/>
      <c r="AG60" s="426"/>
      <c r="AH60" s="426"/>
      <c r="AI60" s="426"/>
      <c r="AJ60" s="426"/>
      <c r="AK60" s="426"/>
      <c r="AL60" s="426"/>
      <c r="AM60" s="426"/>
      <c r="AN60" s="426"/>
      <c r="AP60" s="424"/>
      <c r="AV60" s="547" t="s">
        <v>614</v>
      </c>
      <c r="AW60" s="548">
        <v>243380</v>
      </c>
      <c r="AX60" s="386" t="s">
        <v>689</v>
      </c>
      <c r="AY60" s="548">
        <v>67260</v>
      </c>
      <c r="AZ60" s="386">
        <v>2365</v>
      </c>
      <c r="BA60" s="387">
        <v>186203</v>
      </c>
      <c r="BB60" s="386" t="s">
        <v>689</v>
      </c>
      <c r="BC60" s="387">
        <v>67260</v>
      </c>
      <c r="BD60" s="386" t="s">
        <v>694</v>
      </c>
      <c r="BE60" s="387">
        <v>1100000</v>
      </c>
      <c r="BF60" s="386">
        <v>2365</v>
      </c>
      <c r="BG60" s="387">
        <v>674365</v>
      </c>
      <c r="BH60" s="386"/>
      <c r="BI60" s="387"/>
      <c r="BJ60" s="386"/>
      <c r="BK60" s="387"/>
      <c r="BL60" s="386"/>
      <c r="BM60" s="387"/>
      <c r="BN60" s="386"/>
      <c r="BO60" s="387"/>
      <c r="BP60" s="386"/>
      <c r="BQ60" s="387"/>
      <c r="BR60" s="386"/>
      <c r="BS60" s="387"/>
    </row>
    <row r="61" spans="1:71" ht="13.5" hidden="1" customHeight="1">
      <c r="A61" s="545">
        <v>113006</v>
      </c>
      <c r="B61" s="546" t="s">
        <v>620</v>
      </c>
      <c r="C61" s="10">
        <f>SUMIF($AV$28:$AV$191,$A61,$AW$28:$AW$191)</f>
        <v>0</v>
      </c>
      <c r="D61" s="388">
        <f t="shared" si="21"/>
        <v>0</v>
      </c>
      <c r="E61" s="10"/>
      <c r="F61" s="388">
        <f>SUMIF($BB$28:$BB$191,$A61,$BC$28:$BC$191)</f>
        <v>0</v>
      </c>
      <c r="G61" s="388">
        <f>SUMIF($BD$28:$BD$191,$A61,$BE$28:$BEC$191)</f>
        <v>0</v>
      </c>
      <c r="H61" s="388">
        <f>SUMIF($BF$28:$BF$191,$A61,$BG$28:$BG$191)</f>
        <v>0</v>
      </c>
      <c r="I61" s="388"/>
      <c r="J61" s="388"/>
      <c r="K61" s="388"/>
      <c r="L61" s="388"/>
      <c r="M61" s="388"/>
      <c r="N61" s="388"/>
      <c r="O61" s="10">
        <f t="shared" si="14"/>
        <v>0</v>
      </c>
      <c r="P61" s="10"/>
      <c r="Q61" s="10"/>
      <c r="R61" s="10"/>
      <c r="S61" s="10"/>
      <c r="T61" s="10"/>
      <c r="U61" s="10"/>
      <c r="V61" s="10"/>
      <c r="W61" s="10"/>
      <c r="X61" s="10"/>
      <c r="Y61" s="10"/>
      <c r="AA61" s="426"/>
      <c r="AB61" s="426"/>
      <c r="AC61" s="426"/>
      <c r="AD61" s="426"/>
      <c r="AE61" s="426"/>
      <c r="AF61" s="426"/>
      <c r="AG61" s="426"/>
      <c r="AH61" s="426"/>
      <c r="AI61" s="426"/>
      <c r="AJ61" s="426"/>
      <c r="AK61" s="426"/>
      <c r="AL61" s="426"/>
      <c r="AM61" s="426"/>
      <c r="AN61" s="426"/>
      <c r="AP61" s="424"/>
      <c r="AV61" s="547" t="s">
        <v>614</v>
      </c>
      <c r="AW61" s="548">
        <v>253440</v>
      </c>
      <c r="AX61" s="386" t="s">
        <v>689</v>
      </c>
      <c r="AY61" s="548">
        <v>126310</v>
      </c>
      <c r="AZ61" s="386">
        <v>2365</v>
      </c>
      <c r="BA61" s="387">
        <v>10986</v>
      </c>
      <c r="BB61" s="386" t="s">
        <v>689</v>
      </c>
      <c r="BC61" s="387">
        <v>126130</v>
      </c>
      <c r="BD61" s="386" t="s">
        <v>693</v>
      </c>
      <c r="BE61" s="387">
        <v>669000</v>
      </c>
      <c r="BF61" s="386">
        <v>2365</v>
      </c>
      <c r="BG61" s="387">
        <v>27330</v>
      </c>
      <c r="BH61" s="386"/>
      <c r="BI61" s="387"/>
      <c r="BJ61" s="386"/>
      <c r="BK61" s="387"/>
      <c r="BL61" s="386"/>
      <c r="BM61" s="387"/>
      <c r="BN61" s="386"/>
      <c r="BO61" s="387"/>
      <c r="BP61" s="386"/>
      <c r="BQ61" s="387"/>
      <c r="BR61" s="386"/>
      <c r="BS61" s="387"/>
    </row>
    <row r="62" spans="1:71" ht="13.5" customHeight="1">
      <c r="B62" s="41" t="s">
        <v>48</v>
      </c>
      <c r="C62" s="42">
        <f t="shared" ref="C62:O62" si="23">+C7+C12-C34</f>
        <v>159484742</v>
      </c>
      <c r="D62" s="42">
        <f t="shared" si="23"/>
        <v>186588219</v>
      </c>
      <c r="E62" s="15">
        <f t="shared" si="23"/>
        <v>173312164</v>
      </c>
      <c r="F62" s="15">
        <f t="shared" si="23"/>
        <v>185982606</v>
      </c>
      <c r="G62" s="15">
        <f t="shared" si="23"/>
        <v>237662735</v>
      </c>
      <c r="H62" s="15">
        <f t="shared" si="23"/>
        <v>254731288</v>
      </c>
      <c r="I62" s="15">
        <f t="shared" si="23"/>
        <v>0</v>
      </c>
      <c r="J62" s="15">
        <f t="shared" si="23"/>
        <v>0</v>
      </c>
      <c r="K62" s="15">
        <f t="shared" si="23"/>
        <v>0</v>
      </c>
      <c r="L62" s="15">
        <f t="shared" si="23"/>
        <v>0</v>
      </c>
      <c r="M62" s="15">
        <f t="shared" si="23"/>
        <v>0</v>
      </c>
      <c r="N62" s="15">
        <f t="shared" si="23"/>
        <v>0</v>
      </c>
      <c r="O62" s="15">
        <f t="shared" si="23"/>
        <v>254731288</v>
      </c>
      <c r="P62" s="470"/>
      <c r="Q62" s="470"/>
      <c r="R62" s="470"/>
      <c r="S62" s="470"/>
      <c r="T62" s="470"/>
      <c r="U62" s="470"/>
      <c r="V62" s="470"/>
      <c r="W62" s="470"/>
      <c r="X62" s="470"/>
      <c r="Y62" s="470"/>
      <c r="Z62" s="422"/>
      <c r="AA62" s="2"/>
      <c r="AB62" s="2"/>
      <c r="AC62" s="2"/>
      <c r="AD62" s="2"/>
      <c r="AQ62" s="2"/>
      <c r="AR62" s="2"/>
      <c r="AS62" s="2"/>
      <c r="AT62" s="2"/>
      <c r="AU62" s="2"/>
      <c r="AV62" s="547" t="s">
        <v>614</v>
      </c>
      <c r="AW62" s="548">
        <v>201230</v>
      </c>
      <c r="AX62" s="386" t="s">
        <v>697</v>
      </c>
      <c r="AY62" s="548">
        <v>990000</v>
      </c>
      <c r="AZ62" s="386">
        <v>2365</v>
      </c>
      <c r="BA62" s="387">
        <v>-189</v>
      </c>
      <c r="BB62" s="386" t="s">
        <v>693</v>
      </c>
      <c r="BC62" s="387">
        <v>54000</v>
      </c>
      <c r="BD62" s="386" t="s">
        <v>693</v>
      </c>
      <c r="BE62" s="387">
        <v>669000</v>
      </c>
      <c r="BF62" s="386">
        <v>2365</v>
      </c>
      <c r="BG62" s="387">
        <v>55000</v>
      </c>
      <c r="BH62" s="386"/>
      <c r="BI62" s="387"/>
      <c r="BJ62" s="386"/>
      <c r="BK62" s="387"/>
      <c r="BL62" s="386"/>
      <c r="BM62" s="387"/>
      <c r="BN62" s="386"/>
      <c r="BO62" s="387"/>
      <c r="BP62" s="386"/>
      <c r="BQ62" s="387"/>
      <c r="BR62" s="386"/>
      <c r="BS62" s="387"/>
    </row>
    <row r="63" spans="1:71" ht="13.5" customHeight="1">
      <c r="B63" s="37" t="s">
        <v>27</v>
      </c>
      <c r="C63" s="38">
        <v>600000</v>
      </c>
      <c r="D63" s="38">
        <v>600000</v>
      </c>
      <c r="E63" s="38">
        <v>600000</v>
      </c>
      <c r="F63" s="16">
        <v>600000</v>
      </c>
      <c r="G63" s="16">
        <v>600000</v>
      </c>
      <c r="H63" s="16">
        <v>600000</v>
      </c>
      <c r="I63" s="16"/>
      <c r="J63" s="16"/>
      <c r="K63" s="57"/>
      <c r="L63" s="16"/>
      <c r="M63" s="16"/>
      <c r="N63" s="16"/>
      <c r="O63" s="10">
        <f>+G63</f>
        <v>600000</v>
      </c>
      <c r="P63" s="10"/>
      <c r="Q63" s="10"/>
      <c r="R63" s="10"/>
      <c r="S63" s="10"/>
      <c r="T63" s="10"/>
      <c r="U63" s="10"/>
      <c r="V63" s="10"/>
      <c r="W63" s="10"/>
      <c r="X63" s="10"/>
      <c r="Y63" s="10"/>
      <c r="AD63" s="421"/>
      <c r="AE63" s="421"/>
      <c r="AF63" s="421"/>
      <c r="AG63" s="421"/>
      <c r="AH63" s="421"/>
      <c r="AI63" s="421"/>
      <c r="AJ63" s="421"/>
      <c r="AK63" s="421"/>
      <c r="AL63" s="421"/>
      <c r="AM63" s="421"/>
      <c r="AN63" s="421"/>
      <c r="AO63" s="421"/>
      <c r="AQ63" s="101">
        <f>SUM(AD64:AO64)</f>
        <v>0</v>
      </c>
      <c r="AV63" s="547" t="s">
        <v>614</v>
      </c>
      <c r="AW63" s="548">
        <v>187380</v>
      </c>
      <c r="AX63" s="386" t="s">
        <v>694</v>
      </c>
      <c r="AY63" s="548">
        <v>154700</v>
      </c>
      <c r="AZ63" s="386" t="s">
        <v>698</v>
      </c>
      <c r="BA63" s="387">
        <v>344655</v>
      </c>
      <c r="BB63" s="386" t="s">
        <v>693</v>
      </c>
      <c r="BC63" s="387">
        <v>45000</v>
      </c>
      <c r="BD63" s="386" t="s">
        <v>693</v>
      </c>
      <c r="BE63" s="387">
        <v>669000</v>
      </c>
      <c r="BF63" s="386">
        <v>2365</v>
      </c>
      <c r="BG63" s="387">
        <v>-330</v>
      </c>
      <c r="BH63" s="386"/>
      <c r="BI63" s="387"/>
      <c r="BJ63" s="386"/>
      <c r="BK63" s="387"/>
      <c r="BL63" s="386"/>
      <c r="BM63" s="387"/>
      <c r="BN63" s="386"/>
      <c r="BO63" s="387"/>
      <c r="BP63" s="386"/>
      <c r="BQ63" s="387"/>
      <c r="BR63" s="386"/>
      <c r="BS63" s="387"/>
    </row>
    <row r="64" spans="1:71" ht="13.5" customHeight="1">
      <c r="A64" s="383"/>
      <c r="B64" s="37" t="s">
        <v>28</v>
      </c>
      <c r="C64" s="43">
        <v>141065452</v>
      </c>
      <c r="D64" s="38">
        <v>168122055</v>
      </c>
      <c r="E64" s="47">
        <v>171846000</v>
      </c>
      <c r="F64" s="16">
        <v>184659901</v>
      </c>
      <c r="G64" s="80">
        <v>236334433</v>
      </c>
      <c r="H64" s="16">
        <v>253400244</v>
      </c>
      <c r="I64" s="16"/>
      <c r="J64" s="16"/>
      <c r="K64" s="80"/>
      <c r="L64" s="17"/>
      <c r="M64" s="16"/>
      <c r="N64" s="17"/>
      <c r="O64" s="10">
        <f t="shared" ref="O64:O65" si="24">+G64</f>
        <v>236334433</v>
      </c>
      <c r="P64" s="10"/>
      <c r="Q64" s="10"/>
      <c r="R64" s="10"/>
      <c r="S64" s="10"/>
      <c r="T64" s="10"/>
      <c r="U64" s="10"/>
      <c r="V64" s="10"/>
      <c r="W64" s="10"/>
      <c r="X64" s="10"/>
      <c r="Y64" s="10"/>
      <c r="AV64" s="547" t="s">
        <v>615</v>
      </c>
      <c r="AW64" s="548">
        <v>39546061</v>
      </c>
      <c r="AX64" s="386" t="s">
        <v>700</v>
      </c>
      <c r="AY64" s="548">
        <v>946000</v>
      </c>
      <c r="AZ64" s="386" t="s">
        <v>699</v>
      </c>
      <c r="BA64" s="387">
        <v>270588</v>
      </c>
      <c r="BB64" s="386" t="s">
        <v>689</v>
      </c>
      <c r="BC64" s="387">
        <v>3780</v>
      </c>
      <c r="BD64" s="386" t="s">
        <v>693</v>
      </c>
      <c r="BE64" s="387">
        <v>540000</v>
      </c>
      <c r="BF64" s="386">
        <v>2365</v>
      </c>
      <c r="BG64" s="387">
        <v>-365</v>
      </c>
      <c r="BH64" s="386"/>
      <c r="BI64" s="387"/>
      <c r="BJ64" s="36"/>
      <c r="BK64" s="387"/>
      <c r="BL64" s="386"/>
      <c r="BM64" s="387"/>
      <c r="BN64" s="386"/>
      <c r="BO64" s="387"/>
      <c r="BP64" s="386"/>
      <c r="BQ64" s="387"/>
      <c r="BR64" s="386"/>
      <c r="BS64" s="387"/>
    </row>
    <row r="65" spans="1:71" ht="13.5" customHeight="1">
      <c r="B65" s="423" t="s">
        <v>621</v>
      </c>
      <c r="C65" s="43">
        <v>17819290</v>
      </c>
      <c r="D65" s="38">
        <v>17866164</v>
      </c>
      <c r="E65" s="47">
        <v>866164</v>
      </c>
      <c r="F65" s="16">
        <v>722705</v>
      </c>
      <c r="G65" s="80">
        <v>728302</v>
      </c>
      <c r="H65" s="80">
        <v>731044</v>
      </c>
      <c r="I65" s="16"/>
      <c r="J65" s="16"/>
      <c r="K65" s="80"/>
      <c r="L65" s="17"/>
      <c r="M65" s="17"/>
      <c r="N65" s="17"/>
      <c r="O65" s="10">
        <f t="shared" si="24"/>
        <v>728302</v>
      </c>
      <c r="P65" s="10"/>
      <c r="Q65" s="10"/>
      <c r="R65" s="10"/>
      <c r="S65" s="10"/>
      <c r="T65" s="10"/>
      <c r="U65" s="10"/>
      <c r="V65" s="10"/>
      <c r="W65" s="10"/>
      <c r="X65" s="10"/>
      <c r="Y65" s="10"/>
      <c r="AV65" s="547" t="s">
        <v>616</v>
      </c>
      <c r="AW65" s="548">
        <v>4000000</v>
      </c>
      <c r="AX65" s="386" t="s">
        <v>693</v>
      </c>
      <c r="AY65" s="548">
        <v>669000</v>
      </c>
      <c r="AZ65" s="386" t="s">
        <v>689</v>
      </c>
      <c r="BA65" s="387">
        <v>67260</v>
      </c>
      <c r="BB65" s="386" t="s">
        <v>701</v>
      </c>
      <c r="BC65" s="387">
        <v>2499000</v>
      </c>
      <c r="BD65" s="386" t="s">
        <v>697</v>
      </c>
      <c r="BE65" s="387">
        <v>2300000</v>
      </c>
      <c r="BF65" s="386" t="s">
        <v>699</v>
      </c>
      <c r="BG65" s="387">
        <v>270588</v>
      </c>
      <c r="BH65" s="386"/>
      <c r="BI65" s="387"/>
      <c r="BJ65" s="386"/>
      <c r="BK65" s="387"/>
      <c r="BL65" s="386"/>
      <c r="BM65" s="387"/>
      <c r="BN65" s="386"/>
      <c r="BO65" s="387"/>
      <c r="BP65" s="386"/>
      <c r="BQ65" s="387"/>
      <c r="BR65" s="386"/>
      <c r="BS65" s="387"/>
    </row>
    <row r="66" spans="1:71" ht="13.5" hidden="1" customHeight="1">
      <c r="C66" s="10">
        <f t="shared" ref="C66:H66" si="25">SUM(C63:C65)</f>
        <v>159484742</v>
      </c>
      <c r="D66" s="10">
        <f t="shared" si="25"/>
        <v>186588219</v>
      </c>
      <c r="E66" s="10">
        <f t="shared" si="25"/>
        <v>173312164</v>
      </c>
      <c r="F66" s="10">
        <f t="shared" si="25"/>
        <v>185982606</v>
      </c>
      <c r="G66" s="10">
        <f t="shared" si="25"/>
        <v>237662735</v>
      </c>
      <c r="H66" s="10">
        <f t="shared" si="25"/>
        <v>254731288</v>
      </c>
      <c r="I66" s="10"/>
      <c r="J66" s="10">
        <f>+J62-J63-J64-J65</f>
        <v>0</v>
      </c>
      <c r="K66" s="10">
        <f>+K62-K63-K64-K65</f>
        <v>0</v>
      </c>
      <c r="L66" s="10">
        <f>+L62-L63-L64-L65</f>
        <v>0</v>
      </c>
      <c r="M66" s="10">
        <f>+M62-M63-M64-M65</f>
        <v>0</v>
      </c>
      <c r="N66" s="10">
        <f>+N62-N63-N64-N65</f>
        <v>0</v>
      </c>
      <c r="O66" s="10"/>
      <c r="P66" s="10"/>
      <c r="Q66" s="10"/>
      <c r="R66" s="10"/>
      <c r="S66" s="10"/>
      <c r="T66" s="10"/>
      <c r="U66" s="10"/>
      <c r="V66" s="10"/>
      <c r="W66" s="10"/>
      <c r="X66" s="10"/>
      <c r="Y66" s="10"/>
      <c r="Z66" s="10"/>
      <c r="AV66" s="547" t="s">
        <v>611</v>
      </c>
      <c r="AW66" s="548">
        <v>7140</v>
      </c>
      <c r="AX66" s="386" t="s">
        <v>700</v>
      </c>
      <c r="AY66" s="548">
        <v>110000</v>
      </c>
      <c r="AZ66" s="386" t="s">
        <v>689</v>
      </c>
      <c r="BA66" s="387">
        <v>126130</v>
      </c>
      <c r="BB66" s="386" t="s">
        <v>700</v>
      </c>
      <c r="BC66" s="387">
        <v>191000</v>
      </c>
      <c r="BD66" s="386" t="s">
        <v>697</v>
      </c>
      <c r="BE66" s="387">
        <v>120000</v>
      </c>
      <c r="BF66" s="386" t="s">
        <v>689</v>
      </c>
      <c r="BG66" s="387">
        <v>126230</v>
      </c>
      <c r="BH66" s="386"/>
      <c r="BI66" s="387"/>
      <c r="BJ66" s="386"/>
      <c r="BK66" s="387"/>
      <c r="BN66" s="386"/>
      <c r="BO66" s="387"/>
      <c r="BP66" s="386"/>
      <c r="BQ66" s="387"/>
      <c r="BR66" s="386"/>
      <c r="BS66" s="387"/>
    </row>
    <row r="67" spans="1:71" ht="13.5" customHeight="1">
      <c r="B67" s="7" t="s">
        <v>189</v>
      </c>
      <c r="C67" s="549">
        <f t="shared" ref="C67:H67" si="26">+C62-C66</f>
        <v>0</v>
      </c>
      <c r="D67" s="549">
        <f t="shared" si="26"/>
        <v>0</v>
      </c>
      <c r="E67" s="549">
        <f t="shared" si="26"/>
        <v>0</v>
      </c>
      <c r="F67" s="549">
        <f t="shared" si="26"/>
        <v>0</v>
      </c>
      <c r="G67" s="549">
        <f t="shared" si="26"/>
        <v>0</v>
      </c>
      <c r="H67" s="549">
        <f t="shared" si="26"/>
        <v>0</v>
      </c>
      <c r="I67" s="10"/>
      <c r="J67" s="10"/>
      <c r="K67" s="10"/>
      <c r="L67" s="10"/>
      <c r="M67" s="10"/>
      <c r="N67" s="10"/>
      <c r="O67" s="10"/>
      <c r="P67" s="10"/>
      <c r="Q67" s="10"/>
      <c r="R67" s="10"/>
      <c r="S67" s="10"/>
      <c r="T67" s="10"/>
      <c r="U67" s="10"/>
      <c r="V67" s="10"/>
      <c r="W67" s="10"/>
      <c r="X67" s="10"/>
      <c r="Y67" s="10"/>
      <c r="AV67" s="547" t="s">
        <v>611</v>
      </c>
      <c r="AW67" s="548">
        <v>106025</v>
      </c>
      <c r="AX67" s="386" t="s">
        <v>700</v>
      </c>
      <c r="AY67" s="548">
        <v>225977</v>
      </c>
      <c r="AZ67" s="386" t="s">
        <v>694</v>
      </c>
      <c r="BA67" s="387">
        <v>355000</v>
      </c>
      <c r="BB67" s="386" t="s">
        <v>693</v>
      </c>
      <c r="BC67" s="387">
        <v>824000</v>
      </c>
      <c r="BD67" s="386" t="s">
        <v>582</v>
      </c>
      <c r="BE67" s="387">
        <v>289990</v>
      </c>
      <c r="BF67" s="386" t="s">
        <v>689</v>
      </c>
      <c r="BG67" s="387">
        <v>67260</v>
      </c>
      <c r="BH67" s="386"/>
      <c r="BI67" s="387"/>
      <c r="BJ67" s="386"/>
      <c r="BK67" s="387"/>
      <c r="BN67" s="386"/>
      <c r="BO67" s="387"/>
      <c r="BP67" s="386"/>
      <c r="BQ67" s="387"/>
      <c r="BR67" s="386"/>
      <c r="BS67" s="387"/>
    </row>
    <row r="68" spans="1:71" ht="13.5" customHeight="1">
      <c r="A68" s="40"/>
      <c r="B68" s="7" t="s">
        <v>5</v>
      </c>
      <c r="C68" s="29">
        <v>81520689</v>
      </c>
      <c r="D68" s="29">
        <v>84652618</v>
      </c>
      <c r="E68" s="29">
        <v>67102926</v>
      </c>
      <c r="F68" s="29">
        <v>69775695</v>
      </c>
      <c r="G68" s="29">
        <v>61746226</v>
      </c>
      <c r="H68" s="29">
        <v>66055061</v>
      </c>
      <c r="I68" s="29"/>
      <c r="J68" s="29"/>
      <c r="K68" s="29"/>
      <c r="L68" s="29"/>
      <c r="M68" s="29"/>
      <c r="N68" s="29"/>
      <c r="O68" s="29">
        <f>+junio!B28</f>
        <v>65898412</v>
      </c>
      <c r="P68" s="29"/>
      <c r="Q68" s="29"/>
      <c r="R68" s="29"/>
      <c r="S68" s="29"/>
      <c r="T68" s="29"/>
      <c r="U68" s="29"/>
      <c r="V68" s="29"/>
      <c r="W68" s="29"/>
      <c r="X68" s="29"/>
      <c r="Y68" s="29"/>
      <c r="Z68" s="10"/>
      <c r="AV68" s="547" t="s">
        <v>611</v>
      </c>
      <c r="AW68" s="548">
        <v>187490</v>
      </c>
      <c r="AX68" s="386" t="s">
        <v>694</v>
      </c>
      <c r="AY68" s="548">
        <v>1304893</v>
      </c>
      <c r="AZ68" s="386" t="s">
        <v>693</v>
      </c>
      <c r="BA68" s="387">
        <v>90000</v>
      </c>
      <c r="BD68" s="386" t="s">
        <v>701</v>
      </c>
      <c r="BE68" s="387">
        <v>2499000</v>
      </c>
      <c r="BF68" s="386" t="s">
        <v>693</v>
      </c>
      <c r="BG68" s="387">
        <v>50000</v>
      </c>
      <c r="BH68" s="386"/>
      <c r="BI68" s="387"/>
      <c r="BJ68" s="386"/>
      <c r="BK68" s="387"/>
      <c r="BN68" s="386"/>
      <c r="BO68" s="387"/>
      <c r="BP68" s="386"/>
      <c r="BQ68" s="387"/>
      <c r="BR68" s="386"/>
      <c r="BS68" s="387"/>
    </row>
    <row r="69" spans="1:71" ht="13.5" customHeight="1">
      <c r="A69" s="40"/>
      <c r="B69" s="7" t="s">
        <v>190</v>
      </c>
      <c r="C69" s="39">
        <v>6146780</v>
      </c>
      <c r="D69" s="29">
        <v>6668420</v>
      </c>
      <c r="E69" s="29">
        <v>5981230</v>
      </c>
      <c r="F69" s="29">
        <v>5905440</v>
      </c>
      <c r="G69" s="29">
        <v>5662900</v>
      </c>
      <c r="H69" s="29">
        <v>7029860</v>
      </c>
      <c r="I69" s="29"/>
      <c r="J69" s="29"/>
      <c r="K69" s="29"/>
      <c r="L69" s="29"/>
      <c r="M69" s="29"/>
      <c r="N69" s="29"/>
      <c r="O69" s="29">
        <f>+junio!B42</f>
        <v>7029860</v>
      </c>
      <c r="P69" s="29"/>
      <c r="Q69" s="29"/>
      <c r="R69" s="29"/>
      <c r="S69" s="29"/>
      <c r="T69" s="29"/>
      <c r="U69" s="29"/>
      <c r="V69" s="29"/>
      <c r="W69" s="29"/>
      <c r="X69" s="29"/>
      <c r="Y69" s="29"/>
      <c r="Z69" s="10"/>
      <c r="AV69" s="547" t="s">
        <v>617</v>
      </c>
      <c r="AW69" s="548">
        <v>138000</v>
      </c>
      <c r="AX69" s="386" t="s">
        <v>700</v>
      </c>
      <c r="AY69" s="548">
        <v>230000</v>
      </c>
      <c r="AZ69" s="386" t="s">
        <v>761</v>
      </c>
      <c r="BA69" s="387">
        <v>238000</v>
      </c>
      <c r="BD69" s="386" t="s">
        <v>697</v>
      </c>
      <c r="BE69" s="387">
        <v>1430000</v>
      </c>
      <c r="BF69" s="386" t="s">
        <v>693</v>
      </c>
      <c r="BG69" s="387">
        <v>60000</v>
      </c>
      <c r="BH69" s="386"/>
      <c r="BI69" s="387"/>
      <c r="BJ69" s="386"/>
      <c r="BK69" s="387"/>
      <c r="BN69" s="386"/>
      <c r="BO69" s="387"/>
      <c r="BP69" s="386"/>
      <c r="BQ69" s="387"/>
      <c r="BR69" s="386"/>
      <c r="BS69" s="387"/>
    </row>
    <row r="70" spans="1:71" ht="13.5" customHeight="1">
      <c r="A70" s="40"/>
      <c r="B70" s="393" t="s">
        <v>622</v>
      </c>
      <c r="C70" s="39">
        <f>+'FEB (2)'!C47</f>
        <v>18686641</v>
      </c>
      <c r="D70" s="29">
        <f>+junio!C49</f>
        <v>21935553.440000001</v>
      </c>
      <c r="E70" s="29">
        <v>20311097</v>
      </c>
      <c r="F70" s="29">
        <v>21123325</v>
      </c>
      <c r="G70" s="29">
        <v>21935553</v>
      </c>
      <c r="H70" s="29">
        <v>22992413</v>
      </c>
      <c r="I70" s="29"/>
      <c r="J70" s="29"/>
      <c r="K70" s="29"/>
      <c r="L70" s="29"/>
      <c r="M70" s="29"/>
      <c r="N70" s="29"/>
      <c r="O70" s="29">
        <f>+junio!B49</f>
        <v>22992413.440000001</v>
      </c>
      <c r="P70" s="29"/>
      <c r="Q70" s="29"/>
      <c r="R70" s="29"/>
      <c r="S70" s="29"/>
      <c r="T70" s="29"/>
      <c r="U70" s="29"/>
      <c r="V70" s="29"/>
      <c r="W70" s="29"/>
      <c r="X70" s="29"/>
      <c r="Y70" s="29"/>
      <c r="Z70" s="10"/>
      <c r="AV70" s="547"/>
      <c r="AW70" s="548"/>
      <c r="AX70" s="386" t="s">
        <v>694</v>
      </c>
      <c r="AY70" s="548">
        <v>468200</v>
      </c>
      <c r="AZ70" s="386" t="s">
        <v>761</v>
      </c>
      <c r="BA70" s="387">
        <v>357000</v>
      </c>
      <c r="BD70" s="386" t="s">
        <v>700</v>
      </c>
      <c r="BE70" s="387">
        <v>336000</v>
      </c>
      <c r="BF70" s="386" t="s">
        <v>693</v>
      </c>
      <c r="BG70" s="387">
        <v>80000</v>
      </c>
      <c r="BH70" s="386"/>
      <c r="BI70" s="387"/>
      <c r="BJ70" s="386"/>
      <c r="BK70" s="387"/>
      <c r="BN70" s="386"/>
      <c r="BO70" s="387"/>
      <c r="BP70" s="386"/>
      <c r="BQ70" s="387"/>
      <c r="BR70" s="386"/>
      <c r="BS70" s="387"/>
    </row>
    <row r="71" spans="1:71" ht="13.5" customHeight="1">
      <c r="A71" s="40"/>
      <c r="B71" s="444" t="s">
        <v>460</v>
      </c>
      <c r="C71" s="116">
        <f t="shared" ref="C71:O71" si="27">+C62-C68-C69-C70</f>
        <v>53130632</v>
      </c>
      <c r="D71" s="116">
        <f t="shared" si="27"/>
        <v>73331627.560000002</v>
      </c>
      <c r="E71" s="116">
        <f t="shared" si="27"/>
        <v>79916911</v>
      </c>
      <c r="F71" s="116">
        <f t="shared" si="27"/>
        <v>89178146</v>
      </c>
      <c r="G71" s="116">
        <f t="shared" si="27"/>
        <v>148318056</v>
      </c>
      <c r="H71" s="116">
        <f t="shared" si="27"/>
        <v>158653954</v>
      </c>
      <c r="I71" s="116">
        <f t="shared" si="27"/>
        <v>0</v>
      </c>
      <c r="J71" s="116">
        <f t="shared" si="27"/>
        <v>0</v>
      </c>
      <c r="K71" s="116">
        <f t="shared" si="27"/>
        <v>0</v>
      </c>
      <c r="L71" s="116">
        <f t="shared" si="27"/>
        <v>0</v>
      </c>
      <c r="M71" s="116">
        <f t="shared" si="27"/>
        <v>0</v>
      </c>
      <c r="N71" s="116">
        <f t="shared" si="27"/>
        <v>0</v>
      </c>
      <c r="O71" s="116">
        <f t="shared" si="27"/>
        <v>158810602.56</v>
      </c>
      <c r="P71" s="471"/>
      <c r="Q71" s="471"/>
      <c r="R71" s="471"/>
      <c r="S71" s="471"/>
      <c r="T71" s="471"/>
      <c r="U71" s="471"/>
      <c r="V71" s="471"/>
      <c r="W71" s="471"/>
      <c r="X71" s="471"/>
      <c r="Y71" s="471"/>
      <c r="AV71" s="547" t="s">
        <v>618</v>
      </c>
      <c r="AW71" s="548">
        <v>138000</v>
      </c>
      <c r="AX71" s="386" t="s">
        <v>697</v>
      </c>
      <c r="AY71" s="548">
        <v>1717200</v>
      </c>
      <c r="AZ71" s="386" t="s">
        <v>701</v>
      </c>
      <c r="BA71" s="387">
        <v>345000</v>
      </c>
      <c r="BD71" s="386" t="s">
        <v>700</v>
      </c>
      <c r="BE71" s="387">
        <v>96500</v>
      </c>
      <c r="BF71" s="386">
        <v>233550</v>
      </c>
      <c r="BG71" s="387">
        <v>3800</v>
      </c>
      <c r="BH71" s="386"/>
      <c r="BI71" s="387"/>
      <c r="BJ71" s="386"/>
      <c r="BK71" s="387"/>
      <c r="BN71" s="386"/>
      <c r="BO71" s="387"/>
      <c r="BP71" s="386"/>
      <c r="BQ71" s="387"/>
      <c r="BR71" s="386"/>
      <c r="BS71" s="387"/>
    </row>
    <row r="72" spans="1:71" ht="13.5" customHeight="1">
      <c r="A72" s="40"/>
      <c r="C72" s="29"/>
      <c r="D72" s="39"/>
      <c r="E72" s="29"/>
      <c r="F72" s="29"/>
      <c r="G72" s="29"/>
      <c r="H72" s="116"/>
      <c r="I72" s="29"/>
      <c r="J72" s="29"/>
      <c r="K72" s="29"/>
      <c r="L72" s="29"/>
      <c r="M72" s="29"/>
      <c r="N72" s="29"/>
      <c r="O72" s="29"/>
      <c r="P72" s="29"/>
      <c r="Q72" s="29"/>
      <c r="R72" s="29"/>
      <c r="S72" s="29"/>
      <c r="T72" s="29"/>
      <c r="U72" s="29"/>
      <c r="V72" s="29"/>
      <c r="W72" s="29"/>
      <c r="X72" s="29"/>
      <c r="Y72" s="29"/>
      <c r="AV72" s="547">
        <v>2365</v>
      </c>
      <c r="AW72" s="548">
        <v>585</v>
      </c>
      <c r="AX72" s="386" t="s">
        <v>701</v>
      </c>
      <c r="AY72" s="548">
        <v>86651</v>
      </c>
      <c r="AZ72" s="386" t="s">
        <v>694</v>
      </c>
      <c r="BA72" s="387">
        <v>795000</v>
      </c>
      <c r="BD72" s="386" t="s">
        <v>700</v>
      </c>
      <c r="BE72" s="387">
        <v>10000</v>
      </c>
      <c r="BF72" s="386" t="s">
        <v>694</v>
      </c>
      <c r="BG72" s="387">
        <v>675000</v>
      </c>
      <c r="BH72" s="386"/>
      <c r="BI72" s="387"/>
      <c r="BJ72" s="386"/>
      <c r="BK72" s="387"/>
      <c r="BN72" s="386"/>
      <c r="BO72" s="387"/>
      <c r="BP72" s="386"/>
      <c r="BQ72" s="387"/>
      <c r="BR72" s="386"/>
      <c r="BS72" s="387"/>
    </row>
    <row r="73" spans="1:71" ht="13.5" customHeight="1">
      <c r="A73" s="40"/>
      <c r="B73" s="393" t="s">
        <v>702</v>
      </c>
      <c r="C73" s="29">
        <v>74464846</v>
      </c>
      <c r="D73" s="29">
        <v>82282148</v>
      </c>
      <c r="E73" s="29">
        <v>73064831</v>
      </c>
      <c r="F73" s="29">
        <v>115684387</v>
      </c>
      <c r="G73" s="29">
        <v>119574619</v>
      </c>
      <c r="H73" s="29">
        <v>138795156</v>
      </c>
      <c r="I73" s="29"/>
      <c r="J73" s="29"/>
      <c r="K73" s="29"/>
      <c r="L73" s="29"/>
      <c r="M73" s="29"/>
      <c r="N73" s="29"/>
      <c r="O73" s="29">
        <f>+H73</f>
        <v>138795156</v>
      </c>
      <c r="P73" s="29"/>
      <c r="Q73" s="825"/>
      <c r="R73" s="29"/>
      <c r="S73" s="29"/>
      <c r="T73" s="29"/>
      <c r="U73" s="29"/>
      <c r="V73" s="29"/>
      <c r="W73" s="29"/>
      <c r="X73" s="29"/>
      <c r="Y73" s="29"/>
      <c r="AV73" s="547">
        <v>2365</v>
      </c>
      <c r="AW73" s="548">
        <v>1104752</v>
      </c>
      <c r="AX73" s="386" t="s">
        <v>701</v>
      </c>
      <c r="AY73" s="548">
        <v>2499000</v>
      </c>
      <c r="AZ73" s="386" t="s">
        <v>697</v>
      </c>
      <c r="BA73" s="387">
        <v>291400</v>
      </c>
      <c r="BD73" s="386" t="s">
        <v>700</v>
      </c>
      <c r="BE73" s="387">
        <v>92600</v>
      </c>
      <c r="BF73" s="386" t="s">
        <v>697</v>
      </c>
      <c r="BG73" s="387">
        <v>770800</v>
      </c>
      <c r="BH73" s="386"/>
      <c r="BI73" s="387"/>
      <c r="BJ73" s="386"/>
      <c r="BK73" s="387"/>
      <c r="BN73" s="386"/>
      <c r="BO73" s="387"/>
      <c r="BP73" s="386"/>
      <c r="BQ73" s="387"/>
      <c r="BR73" s="386"/>
      <c r="BS73" s="387"/>
    </row>
    <row r="74" spans="1:71" ht="13.5" customHeight="1">
      <c r="A74" s="40"/>
      <c r="C74" s="29"/>
      <c r="D74" s="39"/>
      <c r="E74" s="29"/>
      <c r="F74" s="29"/>
      <c r="G74" s="29"/>
      <c r="H74" s="29"/>
      <c r="I74" s="29"/>
      <c r="J74" s="29"/>
      <c r="K74" s="29"/>
      <c r="L74" s="29"/>
      <c r="M74" s="29"/>
      <c r="N74" s="29"/>
      <c r="O74" s="29"/>
      <c r="P74" s="350"/>
      <c r="Q74" s="29"/>
      <c r="R74" s="29"/>
      <c r="S74" s="29"/>
      <c r="T74" s="29"/>
      <c r="U74" s="29"/>
      <c r="V74" s="29"/>
      <c r="W74" s="29"/>
      <c r="X74" s="29"/>
      <c r="Y74" s="29"/>
      <c r="AE74" s="425" t="s">
        <v>567</v>
      </c>
      <c r="AV74" s="547">
        <v>2365</v>
      </c>
      <c r="AW74" s="548">
        <v>239663</v>
      </c>
      <c r="AX74" s="386" t="s">
        <v>697</v>
      </c>
      <c r="AY74" s="548">
        <v>2000000</v>
      </c>
      <c r="AZ74" s="386" t="s">
        <v>697</v>
      </c>
      <c r="BA74" s="387">
        <v>1128000</v>
      </c>
      <c r="BD74" s="386" t="s">
        <v>697</v>
      </c>
      <c r="BE74" s="387">
        <v>207000</v>
      </c>
      <c r="BF74" s="386" t="s">
        <v>761</v>
      </c>
      <c r="BG74" s="387">
        <v>408900</v>
      </c>
      <c r="BH74" s="386"/>
      <c r="BI74" s="387"/>
      <c r="BJ74" s="386"/>
      <c r="BK74" s="387"/>
      <c r="BN74" s="386"/>
      <c r="BO74" s="387"/>
      <c r="BR74" s="386"/>
      <c r="BS74" s="387"/>
    </row>
    <row r="75" spans="1:71" ht="13.5" customHeight="1">
      <c r="A75" s="40"/>
      <c r="B75" s="393" t="s">
        <v>536</v>
      </c>
      <c r="C75" s="29">
        <f>+EJEC!D6+EJEC!D7+EJEC!D8</f>
        <v>86648900</v>
      </c>
      <c r="D75" s="29">
        <f>+EJEC!E6+EJEC!E7+EJEC!E8</f>
        <v>86961900</v>
      </c>
      <c r="E75" s="29">
        <f>+EJEC!F6+EJEC!F7+EJEC!F8</f>
        <v>86604050</v>
      </c>
      <c r="F75" s="29">
        <f>+EJEC!G6+EJEC!G7+EJEC!G8</f>
        <v>86473950</v>
      </c>
      <c r="G75" s="29">
        <f>+EJEC!H6+EJEC!H7+EJEC!H8</f>
        <v>86406600</v>
      </c>
      <c r="H75" s="29">
        <f>+EJEC!I6+EJEC!I7+EJEC!I8</f>
        <v>86003500</v>
      </c>
      <c r="I75" s="29">
        <f>+EJEC!J6+EJEC!J7+EJEC!J8</f>
        <v>0</v>
      </c>
      <c r="J75" s="29">
        <f>+EJEC!K6+EJEC!K7+EJEC!K8</f>
        <v>0</v>
      </c>
      <c r="K75" s="29">
        <f>+EJEC!L6+EJEC!L7+EJEC!L8</f>
        <v>0</v>
      </c>
      <c r="L75" s="29">
        <f>+EJEC!M6+EJEC!M7+EJEC!M8</f>
        <v>0</v>
      </c>
      <c r="M75" s="29">
        <f>+EJEC!N6+EJEC!N7+EJEC!N8</f>
        <v>0</v>
      </c>
      <c r="N75" s="29">
        <f>+EJEC!O6+EJEC!O7+EJEC!O8</f>
        <v>0</v>
      </c>
      <c r="O75" s="10">
        <f>SUM(C75:N75)</f>
        <v>519098900</v>
      </c>
      <c r="P75" s="10"/>
      <c r="Q75" s="10"/>
      <c r="R75" s="10"/>
      <c r="S75" s="10"/>
      <c r="T75" s="10"/>
      <c r="U75" s="10"/>
      <c r="V75" s="10"/>
      <c r="W75" s="10"/>
      <c r="X75" s="10"/>
      <c r="Y75" s="10"/>
      <c r="AE75" s="101">
        <v>86604000</v>
      </c>
      <c r="AV75" s="547" t="s">
        <v>619</v>
      </c>
      <c r="AW75" s="548">
        <v>1101681</v>
      </c>
      <c r="AX75" s="386" t="s">
        <v>697</v>
      </c>
      <c r="AY75" s="548">
        <v>1015200</v>
      </c>
      <c r="AZ75" s="386" t="s">
        <v>701</v>
      </c>
      <c r="BA75" s="387">
        <v>2499000</v>
      </c>
      <c r="BD75" s="386" t="s">
        <v>693</v>
      </c>
      <c r="BE75" s="387">
        <v>824000</v>
      </c>
      <c r="BF75" s="386" t="s">
        <v>697</v>
      </c>
      <c r="BG75" s="387">
        <v>2024000</v>
      </c>
      <c r="BH75" s="386"/>
      <c r="BI75" s="387"/>
      <c r="BJ75" s="386"/>
      <c r="BK75" s="387"/>
      <c r="BN75" s="386"/>
      <c r="BO75" s="387"/>
      <c r="BR75" s="386"/>
      <c r="BS75" s="387"/>
    </row>
    <row r="76" spans="1:71" ht="13.5" customHeight="1">
      <c r="A76" s="40"/>
      <c r="B76" s="393" t="s">
        <v>537</v>
      </c>
      <c r="C76" s="39">
        <f t="shared" ref="C76:N76" si="28">+C13+C14+C16</f>
        <v>77979600</v>
      </c>
      <c r="D76" s="39">
        <f t="shared" si="28"/>
        <v>80278784</v>
      </c>
      <c r="E76" s="39">
        <f t="shared" si="28"/>
        <v>81859234</v>
      </c>
      <c r="F76" s="39">
        <f t="shared" si="28"/>
        <v>78198900</v>
      </c>
      <c r="G76" s="39">
        <f t="shared" si="28"/>
        <v>79203700</v>
      </c>
      <c r="H76" s="39">
        <f t="shared" si="28"/>
        <v>86468650</v>
      </c>
      <c r="I76" s="39">
        <f t="shared" si="28"/>
        <v>0</v>
      </c>
      <c r="J76" s="39">
        <f t="shared" si="28"/>
        <v>0</v>
      </c>
      <c r="K76" s="39">
        <f t="shared" si="28"/>
        <v>0</v>
      </c>
      <c r="L76" s="39">
        <f t="shared" si="28"/>
        <v>0</v>
      </c>
      <c r="M76" s="39">
        <f t="shared" si="28"/>
        <v>0</v>
      </c>
      <c r="N76" s="39">
        <f t="shared" si="28"/>
        <v>0</v>
      </c>
      <c r="O76" s="10">
        <f>SUM(C76:N76)</f>
        <v>483988868</v>
      </c>
      <c r="P76" s="10"/>
      <c r="Q76" s="10"/>
      <c r="R76" s="10"/>
      <c r="S76" s="10"/>
      <c r="T76" s="10"/>
      <c r="U76" s="10"/>
      <c r="V76" s="10"/>
      <c r="W76" s="10"/>
      <c r="X76" s="10"/>
      <c r="Y76" s="10"/>
      <c r="AE76" s="101">
        <f>56692000-5398000</f>
        <v>51294000</v>
      </c>
      <c r="AF76" s="424">
        <f>+AE76/AE75</f>
        <v>0.59228211168075373</v>
      </c>
      <c r="AG76" s="424">
        <f>+AE76/D76</f>
        <v>0.63894839264132353</v>
      </c>
      <c r="AV76" s="547" t="s">
        <v>613</v>
      </c>
      <c r="AW76" s="548">
        <v>67260</v>
      </c>
      <c r="AX76" s="386" t="s">
        <v>697</v>
      </c>
      <c r="AY76" s="548">
        <v>830000</v>
      </c>
      <c r="AZ76" s="386" t="s">
        <v>697</v>
      </c>
      <c r="BA76" s="387">
        <v>413600</v>
      </c>
      <c r="BD76" s="386" t="s">
        <v>697</v>
      </c>
      <c r="BE76" s="387">
        <v>300000</v>
      </c>
      <c r="BF76" s="386" t="s">
        <v>761</v>
      </c>
      <c r="BG76" s="387">
        <v>249100</v>
      </c>
      <c r="BH76" s="386"/>
      <c r="BI76" s="387"/>
      <c r="BJ76" s="386"/>
      <c r="BK76" s="387"/>
      <c r="BN76" s="386"/>
      <c r="BO76" s="387"/>
      <c r="BR76" s="386"/>
      <c r="BS76" s="387"/>
    </row>
    <row r="77" spans="1:71" ht="13.5" customHeight="1">
      <c r="A77" s="40"/>
      <c r="B77" s="393" t="s">
        <v>623</v>
      </c>
      <c r="C77" s="116">
        <f>+C75-C76</f>
        <v>8669300</v>
      </c>
      <c r="D77" s="116">
        <f t="shared" ref="D77:O77" si="29">+D75-D76</f>
        <v>6683116</v>
      </c>
      <c r="E77" s="116">
        <f t="shared" si="29"/>
        <v>4744816</v>
      </c>
      <c r="F77" s="116">
        <f t="shared" si="29"/>
        <v>8275050</v>
      </c>
      <c r="G77" s="116">
        <f t="shared" si="29"/>
        <v>7202900</v>
      </c>
      <c r="H77" s="116">
        <f t="shared" si="29"/>
        <v>-465150</v>
      </c>
      <c r="I77" s="116">
        <f t="shared" si="29"/>
        <v>0</v>
      </c>
      <c r="J77" s="116">
        <f t="shared" si="29"/>
        <v>0</v>
      </c>
      <c r="K77" s="116">
        <f t="shared" si="29"/>
        <v>0</v>
      </c>
      <c r="L77" s="116">
        <f t="shared" si="29"/>
        <v>0</v>
      </c>
      <c r="M77" s="116">
        <f t="shared" si="29"/>
        <v>0</v>
      </c>
      <c r="N77" s="116">
        <f t="shared" si="29"/>
        <v>0</v>
      </c>
      <c r="O77" s="116">
        <f t="shared" si="29"/>
        <v>35110032</v>
      </c>
      <c r="P77" s="812">
        <f>+O77/O75</f>
        <v>6.7636498555477584E-2</v>
      </c>
      <c r="Q77" s="471"/>
      <c r="R77" s="471"/>
      <c r="S77" s="471"/>
      <c r="T77" s="471"/>
      <c r="U77" s="471"/>
      <c r="V77" s="471"/>
      <c r="W77" s="471"/>
      <c r="X77" s="471"/>
      <c r="Y77" s="471"/>
      <c r="AE77" s="116">
        <f t="shared" ref="AE77" si="30">+AE75-AE76</f>
        <v>35310000</v>
      </c>
      <c r="AV77" s="547" t="s">
        <v>610</v>
      </c>
      <c r="AW77" s="548">
        <v>404708</v>
      </c>
      <c r="AX77" s="386" t="s">
        <v>582</v>
      </c>
      <c r="AY77" s="548">
        <v>7169350</v>
      </c>
      <c r="AZ77" s="386" t="s">
        <v>697</v>
      </c>
      <c r="BA77" s="387">
        <v>1692000</v>
      </c>
      <c r="BD77" s="386" t="s">
        <v>697</v>
      </c>
      <c r="BE77" s="387">
        <v>282000</v>
      </c>
      <c r="BF77" s="386" t="s">
        <v>1107</v>
      </c>
      <c r="BG77" s="387">
        <v>446500</v>
      </c>
      <c r="BJ77" s="386"/>
      <c r="BK77" s="387"/>
      <c r="BN77" s="386"/>
      <c r="BO77" s="387"/>
      <c r="BR77" s="386"/>
      <c r="BS77" s="387"/>
    </row>
    <row r="78" spans="1:71" ht="13.5" customHeight="1">
      <c r="A78" s="40"/>
      <c r="B78" s="777"/>
      <c r="C78" s="775"/>
      <c r="D78" s="775"/>
      <c r="E78" s="775"/>
      <c r="F78" s="775"/>
      <c r="G78" s="775"/>
      <c r="H78" s="775"/>
      <c r="I78" s="775"/>
      <c r="J78" s="775"/>
      <c r="K78" s="775"/>
      <c r="L78" s="775"/>
      <c r="M78" s="775"/>
      <c r="N78" s="775"/>
      <c r="O78" s="775"/>
      <c r="P78" s="775"/>
      <c r="Q78" s="29"/>
      <c r="R78" s="29"/>
      <c r="S78" s="29"/>
      <c r="T78" s="29"/>
      <c r="U78" s="29"/>
      <c r="V78" s="29"/>
      <c r="W78" s="29"/>
      <c r="X78" s="29"/>
      <c r="Y78" s="29"/>
      <c r="AV78" s="547" t="s">
        <v>610</v>
      </c>
      <c r="AW78" s="548">
        <v>1100000</v>
      </c>
      <c r="AX78" s="386" t="s">
        <v>693</v>
      </c>
      <c r="AY78" s="548">
        <v>824000</v>
      </c>
      <c r="AZ78" s="386" t="s">
        <v>700</v>
      </c>
      <c r="BA78" s="387">
        <v>1771600</v>
      </c>
      <c r="BD78" s="386" t="s">
        <v>697</v>
      </c>
      <c r="BE78" s="387">
        <v>991542</v>
      </c>
      <c r="BF78" s="386" t="s">
        <v>701</v>
      </c>
      <c r="BG78" s="387">
        <v>2499000</v>
      </c>
      <c r="BJ78" s="386"/>
      <c r="BK78" s="387"/>
      <c r="BN78" s="386"/>
      <c r="BO78" s="387"/>
      <c r="BR78" s="386"/>
      <c r="BS78" s="387"/>
    </row>
    <row r="79" spans="1:71" ht="13.5" customHeight="1">
      <c r="A79" s="40"/>
      <c r="B79" s="393" t="s">
        <v>1072</v>
      </c>
      <c r="C79" s="775"/>
      <c r="D79" s="775"/>
      <c r="E79" s="775"/>
      <c r="F79" s="775"/>
      <c r="G79" s="775"/>
      <c r="H79" s="775"/>
      <c r="I79" s="775"/>
      <c r="J79" s="775"/>
      <c r="K79" s="775"/>
      <c r="L79" s="775"/>
      <c r="M79" s="775"/>
      <c r="N79" s="775"/>
      <c r="O79" s="775">
        <f>+O33</f>
        <v>26365806</v>
      </c>
      <c r="P79" s="779">
        <f>+O79/B80</f>
        <v>0.35115385910355829</v>
      </c>
      <c r="Q79" s="29"/>
      <c r="R79" s="29"/>
      <c r="S79" s="29"/>
      <c r="T79" s="29"/>
      <c r="U79" s="29"/>
      <c r="V79" s="29"/>
      <c r="W79" s="29"/>
      <c r="X79" s="29"/>
      <c r="Y79" s="29"/>
      <c r="AV79" s="547"/>
      <c r="AW79" s="548"/>
      <c r="AX79" s="386"/>
      <c r="AY79" s="548"/>
      <c r="AZ79" s="386"/>
      <c r="BA79" s="387"/>
      <c r="BF79" s="386" t="s">
        <v>697</v>
      </c>
      <c r="BG79" s="387">
        <v>169200</v>
      </c>
      <c r="BJ79" s="386"/>
      <c r="BK79" s="387"/>
      <c r="BN79" s="386"/>
      <c r="BO79" s="387"/>
      <c r="BR79" s="386"/>
      <c r="BS79" s="387"/>
    </row>
    <row r="80" spans="1:71" ht="13.5" customHeight="1">
      <c r="A80" s="40"/>
      <c r="B80" s="826">
        <v>75083344</v>
      </c>
      <c r="C80" s="775"/>
      <c r="D80" s="775"/>
      <c r="E80" s="775"/>
      <c r="F80" s="775"/>
      <c r="G80" s="775"/>
      <c r="H80" s="775"/>
      <c r="I80" s="775"/>
      <c r="J80" s="775"/>
      <c r="K80" s="775"/>
      <c r="L80" s="775"/>
      <c r="M80" s="775"/>
      <c r="N80" s="775"/>
      <c r="O80" s="775"/>
      <c r="P80" s="775"/>
      <c r="Q80" s="29"/>
      <c r="R80" s="29"/>
      <c r="S80" s="29"/>
      <c r="T80" s="29"/>
      <c r="U80" s="29"/>
      <c r="V80" s="29"/>
      <c r="W80" s="29"/>
      <c r="X80" s="29"/>
      <c r="Y80" s="29"/>
      <c r="AV80" s="547"/>
      <c r="AW80" s="548"/>
      <c r="AX80" s="386"/>
      <c r="AY80" s="548"/>
      <c r="AZ80" s="386"/>
      <c r="BA80" s="387"/>
      <c r="BF80" s="386" t="s">
        <v>694</v>
      </c>
      <c r="BG80" s="387">
        <v>325000</v>
      </c>
      <c r="BJ80" s="386"/>
      <c r="BK80" s="387"/>
      <c r="BN80" s="386"/>
      <c r="BO80" s="387"/>
      <c r="BR80" s="386"/>
      <c r="BS80" s="387"/>
    </row>
    <row r="81" spans="1:71" ht="13.5" customHeight="1">
      <c r="A81" s="40"/>
      <c r="B81" s="777"/>
      <c r="C81" s="775"/>
      <c r="D81" s="775"/>
      <c r="E81" s="775"/>
      <c r="F81" s="775"/>
      <c r="G81" s="775"/>
      <c r="H81" s="775"/>
      <c r="I81" s="775"/>
      <c r="J81" s="775"/>
      <c r="K81" s="775"/>
      <c r="L81" s="775"/>
      <c r="M81" s="775"/>
      <c r="N81" s="775"/>
      <c r="O81" s="775"/>
      <c r="P81" s="775"/>
      <c r="Q81" s="29"/>
      <c r="R81" s="29"/>
      <c r="S81" s="29"/>
      <c r="T81" s="29"/>
      <c r="U81" s="29"/>
      <c r="V81" s="29"/>
      <c r="W81" s="29"/>
      <c r="X81" s="29"/>
      <c r="Y81" s="29"/>
      <c r="AV81" s="547"/>
      <c r="AW81" s="548"/>
      <c r="AX81" s="386"/>
      <c r="AY81" s="548"/>
      <c r="AZ81" s="386"/>
      <c r="BA81" s="387"/>
      <c r="BF81" s="386" t="s">
        <v>694</v>
      </c>
      <c r="BG81" s="387">
        <v>60000</v>
      </c>
      <c r="BJ81" s="386"/>
      <c r="BK81" s="387"/>
      <c r="BN81" s="386"/>
      <c r="BO81" s="387"/>
      <c r="BR81" s="386"/>
      <c r="BS81" s="387"/>
    </row>
    <row r="82" spans="1:71" ht="13.5" customHeight="1">
      <c r="A82" s="40"/>
      <c r="B82" s="777"/>
      <c r="C82" s="775"/>
      <c r="D82" s="775"/>
      <c r="E82" s="775"/>
      <c r="F82" s="775"/>
      <c r="G82" s="775"/>
      <c r="H82" s="775"/>
      <c r="I82" s="775"/>
      <c r="J82" s="775"/>
      <c r="K82" s="775"/>
      <c r="L82" s="775"/>
      <c r="M82" s="775"/>
      <c r="N82" s="775"/>
      <c r="O82" s="775"/>
      <c r="P82" s="775"/>
      <c r="Q82" s="29"/>
      <c r="R82" s="29"/>
      <c r="S82" s="29"/>
      <c r="T82" s="29"/>
      <c r="U82" s="29"/>
      <c r="V82" s="29"/>
      <c r="W82" s="29"/>
      <c r="X82" s="29"/>
      <c r="Y82" s="29"/>
      <c r="AV82" s="547"/>
      <c r="AW82" s="548"/>
      <c r="AX82" s="386"/>
      <c r="AY82" s="548"/>
      <c r="AZ82" s="386"/>
      <c r="BA82" s="387"/>
      <c r="BF82" s="386" t="s">
        <v>694</v>
      </c>
      <c r="BG82" s="387">
        <v>300000</v>
      </c>
      <c r="BJ82" s="386"/>
      <c r="BK82" s="387"/>
      <c r="BN82" s="386"/>
      <c r="BO82" s="387"/>
      <c r="BR82" s="386"/>
      <c r="BS82" s="387"/>
    </row>
    <row r="83" spans="1:71" ht="13.5" customHeight="1">
      <c r="A83" s="40"/>
      <c r="B83" s="777"/>
      <c r="C83" s="775"/>
      <c r="D83" s="775"/>
      <c r="E83" s="775"/>
      <c r="F83" s="775"/>
      <c r="G83" s="775"/>
      <c r="H83" s="775"/>
      <c r="I83" s="775"/>
      <c r="J83" s="775"/>
      <c r="K83" s="775"/>
      <c r="L83" s="775"/>
      <c r="M83" s="775"/>
      <c r="N83" s="775"/>
      <c r="O83" s="775"/>
      <c r="P83" s="775"/>
      <c r="Q83" s="29"/>
      <c r="R83" s="29"/>
      <c r="S83" s="29"/>
      <c r="T83" s="29"/>
      <c r="U83" s="29"/>
      <c r="V83" s="29"/>
      <c r="W83" s="29"/>
      <c r="X83" s="29"/>
      <c r="Y83" s="29"/>
      <c r="AV83" s="547"/>
      <c r="AW83" s="548"/>
      <c r="AX83" s="386"/>
      <c r="AY83" s="548"/>
      <c r="AZ83" s="386"/>
      <c r="BA83" s="387"/>
      <c r="BF83" s="386" t="s">
        <v>694</v>
      </c>
      <c r="BG83" s="387">
        <v>285000</v>
      </c>
      <c r="BJ83" s="386"/>
      <c r="BK83" s="387"/>
      <c r="BN83" s="386"/>
      <c r="BO83" s="387"/>
      <c r="BR83" s="386"/>
      <c r="BS83" s="387"/>
    </row>
    <row r="84" spans="1:71" ht="13.5" customHeight="1">
      <c r="A84" s="40"/>
      <c r="B84" s="777"/>
      <c r="C84" s="775"/>
      <c r="D84" s="775"/>
      <c r="E84" s="775"/>
      <c r="F84" s="775"/>
      <c r="G84" s="775"/>
      <c r="H84" s="775"/>
      <c r="I84" s="775"/>
      <c r="J84" s="775"/>
      <c r="K84" s="775"/>
      <c r="L84" s="775"/>
      <c r="M84" s="775"/>
      <c r="N84" s="775"/>
      <c r="O84" s="775"/>
      <c r="P84" s="775"/>
      <c r="Q84" s="29"/>
      <c r="R84" s="29"/>
      <c r="S84" s="29"/>
      <c r="T84" s="29"/>
      <c r="U84" s="29"/>
      <c r="V84" s="29"/>
      <c r="W84" s="29"/>
      <c r="X84" s="29"/>
      <c r="Y84" s="29"/>
      <c r="AV84" s="547"/>
      <c r="AW84" s="548"/>
      <c r="AX84" s="386"/>
      <c r="AY84" s="548"/>
      <c r="AZ84" s="386"/>
      <c r="BA84" s="387"/>
      <c r="BF84" s="386" t="s">
        <v>1108</v>
      </c>
      <c r="BG84" s="387">
        <v>831900</v>
      </c>
      <c r="BJ84" s="386"/>
      <c r="BK84" s="387"/>
      <c r="BN84" s="386"/>
      <c r="BO84" s="387"/>
      <c r="BR84" s="386"/>
      <c r="BS84" s="387"/>
    </row>
    <row r="85" spans="1:71" ht="13.5" customHeight="1">
      <c r="A85" s="40"/>
      <c r="B85" s="777"/>
      <c r="C85" s="775"/>
      <c r="D85" s="775"/>
      <c r="E85" s="775"/>
      <c r="F85" s="775"/>
      <c r="G85" s="775"/>
      <c r="H85" s="775"/>
      <c r="I85" s="775"/>
      <c r="J85" s="775"/>
      <c r="K85" s="775"/>
      <c r="L85" s="775"/>
      <c r="M85" s="775"/>
      <c r="N85" s="775"/>
      <c r="O85" s="775"/>
      <c r="P85" s="775"/>
      <c r="Q85" s="29"/>
      <c r="R85" s="29"/>
      <c r="S85" s="29"/>
      <c r="T85" s="29"/>
      <c r="U85" s="29"/>
      <c r="V85" s="29"/>
      <c r="W85" s="29"/>
      <c r="X85" s="29"/>
      <c r="Y85" s="29"/>
      <c r="AV85" s="547"/>
      <c r="AW85" s="548"/>
      <c r="AX85" s="386"/>
      <c r="AY85" s="548"/>
      <c r="AZ85" s="386"/>
      <c r="BA85" s="387"/>
      <c r="BF85" s="386" t="s">
        <v>697</v>
      </c>
      <c r="BG85" s="387">
        <v>2432400</v>
      </c>
      <c r="BJ85" s="386"/>
      <c r="BK85" s="387"/>
      <c r="BN85" s="386"/>
      <c r="BO85" s="387"/>
      <c r="BR85" s="386"/>
      <c r="BS85" s="387"/>
    </row>
    <row r="86" spans="1:71" ht="13.5" customHeight="1">
      <c r="A86" s="40"/>
      <c r="B86" s="777"/>
      <c r="C86" s="775"/>
      <c r="D86" s="775"/>
      <c r="E86" s="775"/>
      <c r="F86" s="775"/>
      <c r="G86" s="775"/>
      <c r="H86" s="775"/>
      <c r="I86" s="775"/>
      <c r="J86" s="775"/>
      <c r="K86" s="775"/>
      <c r="L86" s="775"/>
      <c r="M86" s="775"/>
      <c r="N86" s="775"/>
      <c r="O86" s="775"/>
      <c r="P86" s="775"/>
      <c r="Q86" s="29"/>
      <c r="R86" s="29"/>
      <c r="S86" s="29"/>
      <c r="T86" s="29"/>
      <c r="U86" s="29"/>
      <c r="V86" s="29"/>
      <c r="W86" s="29"/>
      <c r="X86" s="29"/>
      <c r="Y86" s="29"/>
      <c r="AV86" s="547"/>
      <c r="AW86" s="548"/>
      <c r="AX86" s="386"/>
      <c r="AY86" s="548"/>
      <c r="AZ86" s="386"/>
      <c r="BA86" s="387"/>
      <c r="BF86" s="386" t="s">
        <v>697</v>
      </c>
      <c r="BG86" s="387">
        <v>1561600</v>
      </c>
      <c r="BJ86" s="386"/>
      <c r="BK86" s="387"/>
      <c r="BN86" s="386"/>
      <c r="BO86" s="387"/>
      <c r="BR86" s="386"/>
      <c r="BS86" s="387"/>
    </row>
    <row r="87" spans="1:71" ht="13.5" customHeight="1">
      <c r="A87" s="40"/>
      <c r="B87" s="777"/>
      <c r="C87" s="775"/>
      <c r="D87" s="775"/>
      <c r="E87" s="775"/>
      <c r="F87" s="775"/>
      <c r="G87" s="775"/>
      <c r="H87" s="775"/>
      <c r="I87" s="775"/>
      <c r="J87" s="775"/>
      <c r="K87" s="775"/>
      <c r="L87" s="775"/>
      <c r="M87" s="775"/>
      <c r="N87" s="775"/>
      <c r="O87" s="775"/>
      <c r="P87" s="775"/>
      <c r="Q87" s="29"/>
      <c r="R87" s="29"/>
      <c r="S87" s="29"/>
      <c r="T87" s="29"/>
      <c r="U87" s="29"/>
      <c r="V87" s="29"/>
      <c r="W87" s="29"/>
      <c r="X87" s="29"/>
      <c r="Y87" s="29"/>
      <c r="AV87" s="547"/>
      <c r="AW87" s="548"/>
      <c r="AX87" s="386"/>
      <c r="AY87" s="548"/>
      <c r="AZ87" s="386"/>
      <c r="BA87" s="387"/>
      <c r="BF87" s="386" t="s">
        <v>700</v>
      </c>
      <c r="BG87" s="387">
        <v>63650</v>
      </c>
      <c r="BJ87" s="386"/>
      <c r="BK87" s="387"/>
      <c r="BN87" s="386"/>
      <c r="BO87" s="387"/>
      <c r="BR87" s="386"/>
      <c r="BS87" s="387"/>
    </row>
    <row r="88" spans="1:71" ht="13.5" customHeight="1">
      <c r="A88" s="40"/>
      <c r="B88" s="777" t="s">
        <v>1026</v>
      </c>
      <c r="C88" s="8">
        <f>+C5</f>
        <v>43831</v>
      </c>
      <c r="D88" s="8">
        <f t="shared" ref="D88:N88" si="31">+D5</f>
        <v>43862</v>
      </c>
      <c r="E88" s="8">
        <f t="shared" si="31"/>
        <v>43893</v>
      </c>
      <c r="F88" s="8">
        <f t="shared" si="31"/>
        <v>43924</v>
      </c>
      <c r="G88" s="8">
        <f t="shared" si="31"/>
        <v>43955</v>
      </c>
      <c r="H88" s="8">
        <f t="shared" si="31"/>
        <v>43986</v>
      </c>
      <c r="I88" s="8">
        <f t="shared" si="31"/>
        <v>44017</v>
      </c>
      <c r="J88" s="8">
        <f t="shared" si="31"/>
        <v>44048</v>
      </c>
      <c r="K88" s="8">
        <f t="shared" si="31"/>
        <v>44079</v>
      </c>
      <c r="L88" s="8">
        <f t="shared" si="31"/>
        <v>44110</v>
      </c>
      <c r="M88" s="8">
        <f t="shared" si="31"/>
        <v>44141</v>
      </c>
      <c r="N88" s="8">
        <f t="shared" si="31"/>
        <v>44172</v>
      </c>
      <c r="O88" s="8"/>
      <c r="P88" s="775"/>
      <c r="Q88" s="29"/>
      <c r="R88" s="29"/>
      <c r="S88" s="29"/>
      <c r="T88" s="29"/>
      <c r="U88" s="29"/>
      <c r="V88" s="29"/>
      <c r="W88" s="29"/>
      <c r="X88" s="29"/>
      <c r="Y88" s="29"/>
      <c r="AV88" s="547"/>
      <c r="AW88" s="548"/>
      <c r="AX88" s="386"/>
      <c r="AY88" s="548"/>
      <c r="AZ88" s="386"/>
      <c r="BA88" s="387"/>
      <c r="BF88" s="386" t="s">
        <v>697</v>
      </c>
      <c r="BG88" s="387">
        <v>437000</v>
      </c>
      <c r="BJ88" s="386"/>
      <c r="BK88" s="387"/>
      <c r="BN88" s="386"/>
      <c r="BO88" s="387"/>
      <c r="BR88" s="386"/>
      <c r="BS88" s="387"/>
    </row>
    <row r="89" spans="1:71" ht="13.5" customHeight="1">
      <c r="A89" s="40"/>
      <c r="B89" s="777"/>
      <c r="C89" s="775">
        <v>86459000</v>
      </c>
      <c r="D89" s="775">
        <v>86582000</v>
      </c>
      <c r="E89" s="775">
        <v>84994000</v>
      </c>
      <c r="F89" s="775">
        <v>79189000</v>
      </c>
      <c r="G89" s="775">
        <v>84703000</v>
      </c>
      <c r="H89" s="775">
        <v>89328000</v>
      </c>
      <c r="I89" s="775"/>
      <c r="J89" s="775"/>
      <c r="K89" s="775"/>
      <c r="L89" s="775"/>
      <c r="M89" s="775"/>
      <c r="N89" s="775"/>
      <c r="O89" s="775"/>
      <c r="P89" s="775"/>
      <c r="Q89" s="350"/>
      <c r="R89" s="29"/>
      <c r="S89" s="29"/>
      <c r="T89" s="29"/>
      <c r="U89" s="29"/>
      <c r="V89" s="29"/>
      <c r="W89" s="29"/>
      <c r="X89" s="29"/>
      <c r="Y89" s="29"/>
      <c r="AV89" s="547"/>
      <c r="AW89" s="548"/>
      <c r="AX89" s="386"/>
      <c r="AY89" s="548"/>
      <c r="AZ89" s="386"/>
      <c r="BA89" s="387"/>
      <c r="BF89" s="386" t="s">
        <v>693</v>
      </c>
      <c r="BG89" s="387">
        <v>824000</v>
      </c>
      <c r="BJ89" s="386"/>
      <c r="BK89" s="387"/>
      <c r="BN89" s="386"/>
      <c r="BO89" s="387"/>
      <c r="BR89" s="386"/>
      <c r="BS89" s="387"/>
    </row>
    <row r="90" spans="1:71" ht="13.5" customHeight="1">
      <c r="A90" s="40"/>
      <c r="B90" s="777"/>
      <c r="C90" s="775"/>
      <c r="D90" s="775"/>
      <c r="E90" s="775"/>
      <c r="F90" s="775"/>
      <c r="G90" s="775"/>
      <c r="H90" s="775"/>
      <c r="I90" s="775"/>
      <c r="J90" s="775"/>
      <c r="K90" s="775"/>
      <c r="L90" s="775"/>
      <c r="M90" s="775"/>
      <c r="N90" s="775"/>
      <c r="O90" s="775"/>
      <c r="P90" s="775"/>
      <c r="Q90" s="29"/>
      <c r="R90" s="29"/>
      <c r="S90" s="29"/>
      <c r="T90" s="29"/>
      <c r="U90" s="29"/>
      <c r="V90" s="29"/>
      <c r="W90" s="29"/>
      <c r="X90" s="29"/>
      <c r="Y90" s="29"/>
      <c r="AV90" s="547"/>
      <c r="AW90" s="548"/>
      <c r="AX90" s="386"/>
      <c r="AY90" s="548"/>
      <c r="AZ90" s="386"/>
      <c r="BA90" s="387"/>
      <c r="BF90" s="386" t="s">
        <v>697</v>
      </c>
      <c r="BG90" s="387">
        <v>2466309</v>
      </c>
      <c r="BJ90" s="386"/>
      <c r="BK90" s="387"/>
      <c r="BN90" s="386"/>
      <c r="BO90" s="387"/>
      <c r="BR90" s="386"/>
      <c r="BS90" s="387"/>
    </row>
    <row r="91" spans="1:71" ht="13.5" customHeight="1">
      <c r="A91" s="40"/>
      <c r="B91" s="777"/>
      <c r="C91" s="775"/>
      <c r="D91" s="775"/>
      <c r="E91" s="775"/>
      <c r="F91" s="775"/>
      <c r="G91" s="775"/>
      <c r="H91" s="775"/>
      <c r="I91" s="775"/>
      <c r="J91" s="775"/>
      <c r="K91" s="775"/>
      <c r="L91" s="775"/>
      <c r="M91" s="775"/>
      <c r="N91" s="775"/>
      <c r="O91" s="775"/>
      <c r="P91" s="775"/>
      <c r="Q91" s="29"/>
      <c r="R91" s="29"/>
      <c r="S91" s="29"/>
      <c r="T91" s="29"/>
      <c r="U91" s="29"/>
      <c r="V91" s="29"/>
      <c r="W91" s="29"/>
      <c r="X91" s="29"/>
      <c r="Y91" s="29"/>
      <c r="AV91" s="547"/>
      <c r="AW91" s="548"/>
      <c r="AX91" s="386"/>
      <c r="AY91" s="548"/>
      <c r="AZ91" s="386"/>
      <c r="BA91" s="387"/>
      <c r="BJ91" s="386"/>
      <c r="BK91" s="387"/>
      <c r="BN91" s="386"/>
      <c r="BO91" s="387"/>
      <c r="BR91" s="386"/>
      <c r="BS91" s="387"/>
    </row>
    <row r="92" spans="1:71" ht="13.5" customHeight="1">
      <c r="A92" s="40"/>
      <c r="B92" s="777"/>
      <c r="C92" s="775"/>
      <c r="D92" s="775"/>
      <c r="E92" s="775"/>
      <c r="F92" s="775"/>
      <c r="G92" s="775"/>
      <c r="H92" s="775"/>
      <c r="I92" s="775"/>
      <c r="J92" s="775"/>
      <c r="K92" s="775"/>
      <c r="L92" s="775"/>
      <c r="M92" s="775"/>
      <c r="N92" s="775"/>
      <c r="O92" s="775"/>
      <c r="P92" s="775"/>
      <c r="Q92" s="29"/>
      <c r="R92" s="29"/>
      <c r="S92" s="29"/>
      <c r="T92" s="29"/>
      <c r="U92" s="29"/>
      <c r="V92" s="29"/>
      <c r="W92" s="29"/>
      <c r="X92" s="29"/>
      <c r="Y92" s="29"/>
      <c r="AV92" s="547"/>
      <c r="AW92" s="548"/>
      <c r="AX92" s="386"/>
      <c r="AY92" s="548"/>
      <c r="AZ92" s="386"/>
      <c r="BA92" s="387"/>
      <c r="BJ92" s="386"/>
      <c r="BK92" s="387"/>
      <c r="BN92" s="386"/>
      <c r="BO92" s="387"/>
      <c r="BR92" s="386"/>
      <c r="BS92" s="387"/>
    </row>
    <row r="93" spans="1:71" ht="13.5" customHeight="1">
      <c r="A93" s="40"/>
      <c r="B93" s="777"/>
      <c r="C93" s="775"/>
      <c r="D93" s="775"/>
      <c r="E93" s="775"/>
      <c r="F93" s="775"/>
      <c r="G93" s="775"/>
      <c r="H93" s="775"/>
      <c r="I93" s="775"/>
      <c r="J93" s="775"/>
      <c r="K93" s="775"/>
      <c r="L93" s="775"/>
      <c r="M93" s="775"/>
      <c r="N93" s="775"/>
      <c r="O93" s="775"/>
      <c r="P93" s="775"/>
      <c r="Q93" s="29"/>
      <c r="R93" s="29"/>
      <c r="S93" s="29"/>
      <c r="T93" s="29"/>
      <c r="U93" s="29"/>
      <c r="V93" s="29"/>
      <c r="W93" s="29"/>
      <c r="X93" s="29"/>
      <c r="Y93" s="29"/>
      <c r="AV93" s="547"/>
      <c r="AW93" s="548"/>
      <c r="AX93" s="386"/>
      <c r="AY93" s="548"/>
      <c r="AZ93" s="386"/>
      <c r="BA93" s="387"/>
      <c r="BJ93" s="386"/>
      <c r="BK93" s="387"/>
      <c r="BN93" s="386"/>
      <c r="BO93" s="387"/>
      <c r="BR93" s="386"/>
      <c r="BS93" s="387"/>
    </row>
    <row r="94" spans="1:71" ht="13.5" customHeight="1">
      <c r="A94" s="40"/>
      <c r="B94" s="777"/>
      <c r="C94" s="775"/>
      <c r="D94" s="775"/>
      <c r="E94" s="775"/>
      <c r="F94" s="775"/>
      <c r="G94" s="775"/>
      <c r="H94" s="775"/>
      <c r="I94" s="775"/>
      <c r="J94" s="775"/>
      <c r="K94" s="775"/>
      <c r="L94" s="775"/>
      <c r="M94" s="775"/>
      <c r="N94" s="775"/>
      <c r="O94" s="775"/>
      <c r="P94" s="775"/>
      <c r="Q94" s="29"/>
      <c r="R94" s="29"/>
      <c r="S94" s="29"/>
      <c r="T94" s="29"/>
      <c r="U94" s="29"/>
      <c r="V94" s="29"/>
      <c r="W94" s="29"/>
      <c r="X94" s="29"/>
      <c r="Y94" s="29"/>
      <c r="AV94" s="547"/>
      <c r="AW94" s="548"/>
      <c r="AX94" s="386"/>
      <c r="AY94" s="548"/>
      <c r="AZ94" s="386"/>
      <c r="BA94" s="387"/>
      <c r="BJ94" s="386"/>
      <c r="BK94" s="387"/>
      <c r="BN94" s="386"/>
      <c r="BO94" s="387"/>
      <c r="BR94" s="386"/>
      <c r="BS94" s="387"/>
    </row>
    <row r="95" spans="1:71" ht="13.5" customHeight="1">
      <c r="A95" s="40"/>
      <c r="B95" s="777"/>
      <c r="C95" s="775"/>
      <c r="D95" s="775"/>
      <c r="E95" s="775"/>
      <c r="F95" s="775"/>
      <c r="G95" s="775"/>
      <c r="H95" s="775"/>
      <c r="I95" s="775"/>
      <c r="J95" s="775"/>
      <c r="K95" s="775"/>
      <c r="L95" s="775"/>
      <c r="M95" s="775"/>
      <c r="N95" s="775"/>
      <c r="O95" s="775"/>
      <c r="P95" s="775"/>
      <c r="Q95" s="29"/>
      <c r="R95" s="29"/>
      <c r="S95" s="29"/>
      <c r="T95" s="29"/>
      <c r="U95" s="29"/>
      <c r="V95" s="29"/>
      <c r="W95" s="29"/>
      <c r="X95" s="29"/>
      <c r="Y95" s="29"/>
      <c r="AV95" s="547"/>
      <c r="AW95" s="548"/>
      <c r="AX95" s="386"/>
      <c r="AY95" s="548"/>
      <c r="AZ95" s="386"/>
      <c r="BA95" s="387"/>
      <c r="BJ95" s="386"/>
      <c r="BK95" s="387"/>
      <c r="BN95" s="386"/>
      <c r="BO95" s="387"/>
      <c r="BR95" s="386"/>
      <c r="BS95" s="387"/>
    </row>
    <row r="96" spans="1:71" ht="13.5" customHeight="1">
      <c r="A96" s="40"/>
      <c r="B96" s="777"/>
      <c r="C96" s="775"/>
      <c r="D96" s="775"/>
      <c r="E96" s="775"/>
      <c r="F96" s="775"/>
      <c r="G96" s="775"/>
      <c r="H96" s="775"/>
      <c r="I96" s="775"/>
      <c r="J96" s="775"/>
      <c r="K96" s="775"/>
      <c r="L96" s="775"/>
      <c r="M96" s="775"/>
      <c r="N96" s="775"/>
      <c r="O96" s="775"/>
      <c r="P96" s="775"/>
      <c r="Q96" s="29"/>
      <c r="R96" s="29"/>
      <c r="S96" s="29"/>
      <c r="T96" s="29"/>
      <c r="U96" s="29"/>
      <c r="V96" s="29"/>
      <c r="W96" s="29"/>
      <c r="X96" s="29"/>
      <c r="Y96" s="29"/>
      <c r="AV96" s="547"/>
      <c r="AW96" s="548"/>
      <c r="AX96" s="386"/>
      <c r="AY96" s="548"/>
      <c r="AZ96" s="386"/>
      <c r="BA96" s="387"/>
      <c r="BJ96" s="386"/>
      <c r="BK96" s="387"/>
      <c r="BN96" s="386"/>
      <c r="BO96" s="387"/>
      <c r="BR96" s="386"/>
      <c r="BS96" s="387"/>
    </row>
    <row r="97" spans="1:71" ht="13.5" customHeight="1">
      <c r="A97" s="40"/>
      <c r="B97" s="777"/>
      <c r="C97" s="775"/>
      <c r="D97" s="775"/>
      <c r="E97" s="775"/>
      <c r="F97" s="775"/>
      <c r="G97" s="775"/>
      <c r="H97" s="775"/>
      <c r="I97" s="775"/>
      <c r="J97" s="775"/>
      <c r="K97" s="775"/>
      <c r="L97" s="775"/>
      <c r="M97" s="775"/>
      <c r="N97" s="775"/>
      <c r="O97" s="775"/>
      <c r="P97" s="775"/>
      <c r="Q97" s="29"/>
      <c r="R97" s="29"/>
      <c r="S97" s="29"/>
      <c r="T97" s="29"/>
      <c r="U97" s="29"/>
      <c r="V97" s="29"/>
      <c r="W97" s="29"/>
      <c r="X97" s="29"/>
      <c r="Y97" s="29"/>
      <c r="AV97" s="547"/>
      <c r="AW97" s="548"/>
      <c r="AX97" s="386"/>
      <c r="AY97" s="548"/>
      <c r="AZ97" s="386"/>
      <c r="BA97" s="387"/>
      <c r="BJ97" s="386"/>
      <c r="BK97" s="387"/>
      <c r="BN97" s="386"/>
      <c r="BO97" s="387"/>
      <c r="BR97" s="386"/>
      <c r="BS97" s="387"/>
    </row>
    <row r="98" spans="1:71" ht="13.5" customHeight="1">
      <c r="A98" s="40"/>
      <c r="B98" s="777"/>
      <c r="C98" s="775"/>
      <c r="D98" s="775"/>
      <c r="E98" s="775"/>
      <c r="F98" s="775"/>
      <c r="G98" s="775"/>
      <c r="H98" s="775"/>
      <c r="I98" s="775"/>
      <c r="J98" s="775"/>
      <c r="K98" s="775"/>
      <c r="L98" s="775"/>
      <c r="M98" s="775"/>
      <c r="N98" s="775"/>
      <c r="O98" s="775"/>
      <c r="P98" s="775"/>
      <c r="Q98" s="29"/>
      <c r="R98" s="29"/>
      <c r="S98" s="29"/>
      <c r="T98" s="29"/>
      <c r="U98" s="29"/>
      <c r="V98" s="29"/>
      <c r="W98" s="29"/>
      <c r="X98" s="29"/>
      <c r="Y98" s="29"/>
      <c r="AV98" s="547"/>
      <c r="AW98" s="548"/>
      <c r="AX98" s="386"/>
      <c r="AY98" s="548"/>
      <c r="AZ98" s="386"/>
      <c r="BA98" s="387"/>
      <c r="BJ98" s="386"/>
      <c r="BK98" s="387"/>
      <c r="BN98" s="386"/>
      <c r="BO98" s="387"/>
      <c r="BR98" s="386"/>
      <c r="BS98" s="387"/>
    </row>
    <row r="99" spans="1:71" ht="13.5" customHeight="1">
      <c r="A99" s="40"/>
      <c r="B99" s="777"/>
      <c r="C99" s="775"/>
      <c r="D99" s="775"/>
      <c r="E99" s="775"/>
      <c r="F99" s="775"/>
      <c r="G99" s="775"/>
      <c r="H99" s="775"/>
      <c r="I99" s="775"/>
      <c r="J99" s="775"/>
      <c r="K99" s="775"/>
      <c r="L99" s="775"/>
      <c r="M99" s="775"/>
      <c r="N99" s="775"/>
      <c r="O99" s="775"/>
      <c r="P99" s="775"/>
      <c r="Q99" s="29"/>
      <c r="R99" s="29"/>
      <c r="S99" s="29"/>
      <c r="T99" s="29"/>
      <c r="U99" s="29"/>
      <c r="V99" s="29"/>
      <c r="W99" s="29"/>
      <c r="X99" s="29"/>
      <c r="Y99" s="29"/>
      <c r="AV99" s="547"/>
      <c r="AW99" s="548"/>
      <c r="AX99" s="386"/>
      <c r="AY99" s="548"/>
      <c r="AZ99" s="386"/>
      <c r="BA99" s="387"/>
      <c r="BJ99" s="386"/>
      <c r="BK99" s="387"/>
      <c r="BN99" s="386"/>
      <c r="BO99" s="387"/>
      <c r="BR99" s="386"/>
      <c r="BS99" s="387"/>
    </row>
    <row r="100" spans="1:71" ht="13.5" customHeight="1">
      <c r="A100" s="40"/>
      <c r="B100" s="777"/>
      <c r="C100" s="775"/>
      <c r="D100" s="775"/>
      <c r="E100" s="775"/>
      <c r="F100" s="775"/>
      <c r="G100" s="775"/>
      <c r="H100" s="775"/>
      <c r="I100" s="775"/>
      <c r="J100" s="775"/>
      <c r="K100" s="775"/>
      <c r="L100" s="775"/>
      <c r="M100" s="775"/>
      <c r="N100" s="775"/>
      <c r="O100" s="775"/>
      <c r="P100" s="775"/>
      <c r="Q100" s="29"/>
      <c r="R100" s="29"/>
      <c r="S100" s="29"/>
      <c r="T100" s="29"/>
      <c r="U100" s="29"/>
      <c r="V100" s="29"/>
      <c r="W100" s="29"/>
      <c r="X100" s="29"/>
      <c r="Y100" s="29"/>
      <c r="AV100" s="547"/>
      <c r="AW100" s="548"/>
      <c r="AX100" s="386"/>
      <c r="AY100" s="548"/>
      <c r="AZ100" s="386"/>
      <c r="BA100" s="387"/>
      <c r="BJ100" s="386"/>
      <c r="BK100" s="387"/>
      <c r="BN100" s="386"/>
      <c r="BO100" s="387"/>
      <c r="BR100" s="386"/>
      <c r="BS100" s="387"/>
    </row>
    <row r="101" spans="1:71" ht="13.5" customHeight="1">
      <c r="A101" s="40"/>
      <c r="B101" s="777"/>
      <c r="C101" s="775"/>
      <c r="D101" s="775"/>
      <c r="E101" s="775"/>
      <c r="F101" s="775"/>
      <c r="G101" s="775"/>
      <c r="H101" s="775"/>
      <c r="I101" s="775"/>
      <c r="J101" s="775"/>
      <c r="K101" s="775"/>
      <c r="L101" s="775"/>
      <c r="M101" s="775"/>
      <c r="N101" s="775"/>
      <c r="O101" s="775"/>
      <c r="P101" s="775"/>
      <c r="Q101" s="29"/>
      <c r="R101" s="29"/>
      <c r="S101" s="29"/>
      <c r="T101" s="29"/>
      <c r="U101" s="29"/>
      <c r="V101" s="29"/>
      <c r="W101" s="29"/>
      <c r="X101" s="29"/>
      <c r="Y101" s="29"/>
      <c r="AV101" s="547"/>
      <c r="AW101" s="548"/>
      <c r="AX101" s="386"/>
      <c r="AY101" s="548"/>
      <c r="AZ101" s="386"/>
      <c r="BA101" s="387"/>
      <c r="BJ101" s="386"/>
      <c r="BK101" s="387"/>
      <c r="BN101" s="386"/>
      <c r="BO101" s="387"/>
      <c r="BR101" s="386"/>
      <c r="BS101" s="387"/>
    </row>
    <row r="102" spans="1:71" ht="13.5" customHeight="1">
      <c r="A102" s="40"/>
      <c r="B102" s="777"/>
      <c r="C102" s="775"/>
      <c r="D102" s="775"/>
      <c r="E102" s="775"/>
      <c r="F102" s="775"/>
      <c r="G102" s="775"/>
      <c r="H102" s="775"/>
      <c r="I102" s="775"/>
      <c r="J102" s="775"/>
      <c r="K102" s="775"/>
      <c r="L102" s="775"/>
      <c r="M102" s="775"/>
      <c r="N102" s="775"/>
      <c r="O102" s="775"/>
      <c r="P102" s="775"/>
      <c r="Q102" s="29"/>
      <c r="R102" s="29"/>
      <c r="S102" s="29"/>
      <c r="T102" s="29"/>
      <c r="U102" s="29"/>
      <c r="V102" s="29"/>
      <c r="W102" s="29"/>
      <c r="X102" s="29"/>
      <c r="Y102" s="29"/>
      <c r="AV102" s="547"/>
      <c r="AW102" s="548"/>
      <c r="AX102" s="386"/>
      <c r="AY102" s="548"/>
      <c r="AZ102" s="386"/>
      <c r="BA102" s="387"/>
      <c r="BJ102" s="386"/>
      <c r="BK102" s="387"/>
      <c r="BN102" s="386"/>
      <c r="BO102" s="387"/>
      <c r="BR102" s="386"/>
      <c r="BS102" s="387"/>
    </row>
    <row r="103" spans="1:71" ht="13.5" customHeight="1">
      <c r="A103" s="40"/>
      <c r="B103" s="777"/>
      <c r="C103" s="775"/>
      <c r="D103" s="775"/>
      <c r="E103" s="775"/>
      <c r="F103" s="775"/>
      <c r="G103" s="775"/>
      <c r="H103" s="775"/>
      <c r="I103" s="775"/>
      <c r="J103" s="775"/>
      <c r="K103" s="775"/>
      <c r="L103" s="775"/>
      <c r="M103" s="775"/>
      <c r="N103" s="775"/>
      <c r="O103" s="775"/>
      <c r="P103" s="775"/>
      <c r="Q103" s="29"/>
      <c r="R103" s="29"/>
      <c r="S103" s="29"/>
      <c r="T103" s="29"/>
      <c r="U103" s="29"/>
      <c r="V103" s="29"/>
      <c r="W103" s="29"/>
      <c r="X103" s="29"/>
      <c r="Y103" s="29"/>
      <c r="AV103" s="547"/>
      <c r="AW103" s="548"/>
      <c r="AX103" s="386"/>
      <c r="AY103" s="548"/>
      <c r="AZ103" s="386"/>
      <c r="BA103" s="387"/>
      <c r="BJ103" s="386"/>
      <c r="BK103" s="387"/>
      <c r="BN103" s="386"/>
      <c r="BO103" s="387"/>
      <c r="BR103" s="386"/>
      <c r="BS103" s="387"/>
    </row>
    <row r="104" spans="1:71" ht="13.5" customHeight="1">
      <c r="A104" s="40"/>
      <c r="B104" s="777"/>
      <c r="C104" s="775"/>
      <c r="D104" s="775"/>
      <c r="E104" s="775"/>
      <c r="F104" s="775"/>
      <c r="G104" s="775"/>
      <c r="H104" s="775"/>
      <c r="I104" s="775"/>
      <c r="J104" s="775"/>
      <c r="K104" s="775"/>
      <c r="L104" s="775"/>
      <c r="M104" s="775"/>
      <c r="N104" s="775"/>
      <c r="O104" s="775"/>
      <c r="P104" s="775"/>
      <c r="Q104" s="29"/>
      <c r="R104" s="29"/>
      <c r="S104" s="29"/>
      <c r="T104" s="29"/>
      <c r="U104" s="29"/>
      <c r="V104" s="29"/>
      <c r="W104" s="29"/>
      <c r="X104" s="29"/>
      <c r="Y104" s="29"/>
      <c r="AV104" s="547"/>
      <c r="AW104" s="548"/>
      <c r="AX104" s="386"/>
      <c r="AY104" s="548"/>
      <c r="AZ104" s="386"/>
      <c r="BA104" s="387"/>
      <c r="BJ104" s="386"/>
      <c r="BK104" s="387"/>
      <c r="BN104" s="386"/>
      <c r="BO104" s="387"/>
      <c r="BR104" s="386"/>
      <c r="BS104" s="387"/>
    </row>
    <row r="105" spans="1:71" ht="13.5" customHeight="1">
      <c r="A105" s="40"/>
      <c r="B105" s="777"/>
      <c r="C105" s="775"/>
      <c r="D105" s="775"/>
      <c r="E105" s="775"/>
      <c r="F105" s="775"/>
      <c r="G105" s="775"/>
      <c r="H105" s="775"/>
      <c r="I105" s="775"/>
      <c r="J105" s="775"/>
      <c r="K105" s="775"/>
      <c r="L105" s="775"/>
      <c r="M105" s="775"/>
      <c r="N105" s="775"/>
      <c r="O105" s="775"/>
      <c r="P105" s="775"/>
      <c r="Q105" s="29"/>
      <c r="R105" s="29"/>
      <c r="S105" s="29"/>
      <c r="T105" s="29"/>
      <c r="U105" s="29"/>
      <c r="V105" s="29"/>
      <c r="W105" s="29"/>
      <c r="X105" s="29"/>
      <c r="Y105" s="29"/>
      <c r="AV105" s="547"/>
      <c r="AW105" s="548"/>
      <c r="AX105" s="386"/>
      <c r="AY105" s="548"/>
      <c r="AZ105" s="386"/>
      <c r="BA105" s="387"/>
      <c r="BJ105" s="386"/>
      <c r="BK105" s="387"/>
      <c r="BN105" s="386"/>
      <c r="BO105" s="387"/>
      <c r="BR105" s="386"/>
      <c r="BS105" s="387"/>
    </row>
    <row r="106" spans="1:71" ht="13.5" customHeight="1">
      <c r="A106" s="40"/>
      <c r="B106" s="777"/>
      <c r="C106" s="775"/>
      <c r="D106" s="775"/>
      <c r="E106" s="775"/>
      <c r="F106" s="775"/>
      <c r="G106" s="775"/>
      <c r="H106" s="775"/>
      <c r="I106" s="775"/>
      <c r="J106" s="775"/>
      <c r="K106" s="775"/>
      <c r="L106" s="775"/>
      <c r="M106" s="775"/>
      <c r="N106" s="775"/>
      <c r="O106" s="775"/>
      <c r="P106" s="775"/>
      <c r="Q106" s="29"/>
      <c r="R106" s="29"/>
      <c r="S106" s="29"/>
      <c r="T106" s="29"/>
      <c r="U106" s="29"/>
      <c r="V106" s="29"/>
      <c r="W106" s="29"/>
      <c r="X106" s="29"/>
      <c r="Y106" s="29"/>
      <c r="AV106" s="547"/>
      <c r="AW106" s="548"/>
      <c r="AX106" s="386"/>
      <c r="AY106" s="548"/>
      <c r="AZ106" s="386"/>
      <c r="BA106" s="387"/>
      <c r="BJ106" s="386"/>
      <c r="BK106" s="387"/>
      <c r="BN106" s="386"/>
      <c r="BO106" s="387"/>
      <c r="BR106" s="386"/>
      <c r="BS106" s="387"/>
    </row>
    <row r="107" spans="1:71" ht="13.5" customHeight="1">
      <c r="A107" s="40"/>
      <c r="B107" s="777"/>
      <c r="C107" s="775"/>
      <c r="D107" s="775"/>
      <c r="E107" s="775"/>
      <c r="F107" s="775"/>
      <c r="G107" s="775"/>
      <c r="H107" s="775"/>
      <c r="I107" s="775"/>
      <c r="J107" s="775"/>
      <c r="K107" s="775"/>
      <c r="L107" s="775"/>
      <c r="M107" s="775"/>
      <c r="N107" s="775"/>
      <c r="O107" s="775"/>
      <c r="P107" s="775"/>
      <c r="Q107" s="29"/>
      <c r="R107" s="29"/>
      <c r="S107" s="29"/>
      <c r="T107" s="29"/>
      <c r="U107" s="29"/>
      <c r="V107" s="29"/>
      <c r="W107" s="29"/>
      <c r="X107" s="29"/>
      <c r="Y107" s="29"/>
      <c r="AV107" s="547"/>
      <c r="AW107" s="548"/>
      <c r="AX107" s="386"/>
      <c r="AY107" s="548"/>
      <c r="AZ107" s="386"/>
      <c r="BA107" s="387"/>
      <c r="BJ107" s="386"/>
      <c r="BK107" s="387"/>
      <c r="BN107" s="386"/>
      <c r="BO107" s="387"/>
      <c r="BR107" s="386"/>
      <c r="BS107" s="387"/>
    </row>
    <row r="108" spans="1:71" ht="13.5" customHeight="1">
      <c r="A108" s="40"/>
      <c r="B108" s="777"/>
      <c r="C108" s="775"/>
      <c r="D108" s="775"/>
      <c r="E108" s="775"/>
      <c r="F108" s="775"/>
      <c r="G108" s="775"/>
      <c r="H108" s="775"/>
      <c r="I108" s="775"/>
      <c r="J108" s="775"/>
      <c r="K108" s="775"/>
      <c r="L108" s="775"/>
      <c r="M108" s="775"/>
      <c r="N108" s="775"/>
      <c r="O108" s="775"/>
      <c r="P108" s="775"/>
      <c r="Q108" s="29"/>
      <c r="R108" s="29"/>
      <c r="S108" s="29"/>
      <c r="T108" s="29"/>
      <c r="U108" s="29"/>
      <c r="V108" s="29"/>
      <c r="W108" s="29"/>
      <c r="X108" s="29"/>
      <c r="Y108" s="29"/>
      <c r="AV108" s="547"/>
      <c r="AW108" s="548"/>
      <c r="AX108" s="386"/>
      <c r="AY108" s="548"/>
      <c r="AZ108" s="386"/>
      <c r="BA108" s="387"/>
      <c r="BJ108" s="386"/>
      <c r="BK108" s="387"/>
      <c r="BN108" s="386"/>
      <c r="BO108" s="387"/>
      <c r="BR108" s="386"/>
      <c r="BS108" s="387"/>
    </row>
    <row r="109" spans="1:71" ht="13.5" customHeight="1">
      <c r="A109" s="40"/>
      <c r="B109" s="777"/>
      <c r="C109" s="775"/>
      <c r="D109" s="775"/>
      <c r="E109" s="775"/>
      <c r="F109" s="775"/>
      <c r="G109" s="775"/>
      <c r="H109" s="775"/>
      <c r="I109" s="775"/>
      <c r="J109" s="775"/>
      <c r="K109" s="775"/>
      <c r="L109" s="775"/>
      <c r="M109" s="775"/>
      <c r="N109" s="775"/>
      <c r="O109" s="775"/>
      <c r="P109" s="775"/>
      <c r="Q109" s="29"/>
      <c r="R109" s="29"/>
      <c r="S109" s="29"/>
      <c r="T109" s="29"/>
      <c r="U109" s="29"/>
      <c r="V109" s="29"/>
      <c r="W109" s="29"/>
      <c r="X109" s="29"/>
      <c r="Y109" s="29"/>
      <c r="AV109" s="547"/>
      <c r="AW109" s="548"/>
      <c r="AX109" s="386"/>
      <c r="AY109" s="548"/>
      <c r="AZ109" s="386"/>
      <c r="BA109" s="387"/>
      <c r="BJ109" s="386"/>
      <c r="BK109" s="387"/>
      <c r="BN109" s="386"/>
      <c r="BO109" s="387"/>
      <c r="BR109" s="386"/>
      <c r="BS109" s="387"/>
    </row>
    <row r="110" spans="1:71" ht="13.5" customHeight="1">
      <c r="A110" s="40"/>
      <c r="B110" s="777"/>
      <c r="C110" s="775"/>
      <c r="D110" s="775"/>
      <c r="E110" s="775"/>
      <c r="F110" s="775"/>
      <c r="G110" s="775"/>
      <c r="H110" s="775"/>
      <c r="I110" s="775"/>
      <c r="J110" s="775"/>
      <c r="K110" s="775"/>
      <c r="L110" s="775"/>
      <c r="M110" s="775"/>
      <c r="N110" s="775"/>
      <c r="O110" s="775"/>
      <c r="P110" s="775"/>
      <c r="Q110" s="29"/>
      <c r="R110" s="29"/>
      <c r="S110" s="29"/>
      <c r="T110" s="29"/>
      <c r="U110" s="29"/>
      <c r="V110" s="29"/>
      <c r="W110" s="29"/>
      <c r="X110" s="29"/>
      <c r="Y110" s="29"/>
      <c r="AV110" s="547"/>
      <c r="AW110" s="548"/>
      <c r="AX110" s="386"/>
      <c r="AY110" s="548"/>
      <c r="AZ110" s="386"/>
      <c r="BA110" s="387"/>
      <c r="BJ110" s="386"/>
      <c r="BK110" s="387"/>
      <c r="BN110" s="386"/>
      <c r="BO110" s="387"/>
      <c r="BR110" s="386"/>
      <c r="BS110" s="387"/>
    </row>
    <row r="111" spans="1:71" ht="13.5" customHeight="1">
      <c r="A111" s="40"/>
      <c r="B111" s="777"/>
      <c r="C111" s="775"/>
      <c r="D111" s="775"/>
      <c r="E111" s="775"/>
      <c r="F111" s="775"/>
      <c r="G111" s="775"/>
      <c r="H111" s="775"/>
      <c r="I111" s="775"/>
      <c r="J111" s="775"/>
      <c r="K111" s="775"/>
      <c r="L111" s="775"/>
      <c r="M111" s="775"/>
      <c r="N111" s="775"/>
      <c r="O111" s="775"/>
      <c r="P111" s="775"/>
      <c r="Q111" s="29"/>
      <c r="R111" s="29"/>
      <c r="S111" s="29"/>
      <c r="T111" s="29"/>
      <c r="U111" s="29"/>
      <c r="V111" s="29"/>
      <c r="W111" s="29"/>
      <c r="X111" s="29"/>
      <c r="Y111" s="29"/>
      <c r="AV111" s="547"/>
      <c r="AW111" s="548"/>
      <c r="AX111" s="386"/>
      <c r="AY111" s="548"/>
      <c r="AZ111" s="386"/>
      <c r="BA111" s="387"/>
      <c r="BJ111" s="386"/>
      <c r="BK111" s="387"/>
      <c r="BN111" s="386"/>
      <c r="BO111" s="387"/>
      <c r="BR111" s="386"/>
      <c r="BS111" s="387"/>
    </row>
    <row r="112" spans="1:71" ht="13.5" customHeight="1">
      <c r="A112" s="40"/>
      <c r="B112" s="777"/>
      <c r="C112" s="775"/>
      <c r="D112" s="775"/>
      <c r="E112" s="775"/>
      <c r="F112" s="775"/>
      <c r="G112" s="775"/>
      <c r="H112" s="775"/>
      <c r="I112" s="775"/>
      <c r="J112" s="775"/>
      <c r="K112" s="775"/>
      <c r="L112" s="775"/>
      <c r="M112" s="775"/>
      <c r="N112" s="775"/>
      <c r="O112" s="775"/>
      <c r="P112" s="775"/>
      <c r="Q112" s="29"/>
      <c r="R112" s="29"/>
      <c r="S112" s="29"/>
      <c r="T112" s="29"/>
      <c r="U112" s="29"/>
      <c r="V112" s="29"/>
      <c r="W112" s="29"/>
      <c r="X112" s="29"/>
      <c r="Y112" s="29"/>
      <c r="AV112" s="547"/>
      <c r="AW112" s="548"/>
      <c r="AX112" s="386"/>
      <c r="AY112" s="548"/>
      <c r="AZ112" s="386"/>
      <c r="BA112" s="387"/>
      <c r="BJ112" s="386"/>
      <c r="BK112" s="387"/>
      <c r="BN112" s="386"/>
      <c r="BO112" s="387"/>
      <c r="BR112" s="386"/>
      <c r="BS112" s="387"/>
    </row>
    <row r="113" spans="1:71" ht="13.5" customHeight="1">
      <c r="A113" s="40"/>
      <c r="B113" s="777"/>
      <c r="C113" s="775"/>
      <c r="D113" s="775"/>
      <c r="E113" s="775"/>
      <c r="F113" s="775"/>
      <c r="G113" s="775"/>
      <c r="H113" s="775"/>
      <c r="I113" s="775"/>
      <c r="J113" s="775"/>
      <c r="K113" s="775"/>
      <c r="L113" s="775"/>
      <c r="M113" s="775"/>
      <c r="N113" s="775"/>
      <c r="O113" s="775"/>
      <c r="P113" s="775"/>
      <c r="Q113" s="29"/>
      <c r="R113" s="29"/>
      <c r="S113" s="29"/>
      <c r="T113" s="29"/>
      <c r="U113" s="29"/>
      <c r="V113" s="29"/>
      <c r="W113" s="29"/>
      <c r="X113" s="29"/>
      <c r="Y113" s="29"/>
      <c r="AV113" s="547"/>
      <c r="AW113" s="548"/>
      <c r="AX113" s="386"/>
      <c r="AY113" s="548"/>
      <c r="AZ113" s="386"/>
      <c r="BA113" s="387"/>
      <c r="BJ113" s="386"/>
      <c r="BK113" s="387"/>
      <c r="BN113" s="386"/>
      <c r="BO113" s="387"/>
      <c r="BR113" s="386"/>
      <c r="BS113" s="387"/>
    </row>
    <row r="114" spans="1:71" ht="13.5" customHeight="1">
      <c r="A114" s="40"/>
      <c r="B114" s="777"/>
      <c r="C114" s="775"/>
      <c r="D114" s="775"/>
      <c r="E114" s="775"/>
      <c r="F114" s="775"/>
      <c r="G114" s="775"/>
      <c r="H114" s="775"/>
      <c r="I114" s="775"/>
      <c r="J114" s="775"/>
      <c r="K114" s="775"/>
      <c r="L114" s="775"/>
      <c r="M114" s="775"/>
      <c r="N114" s="775"/>
      <c r="O114" s="775"/>
      <c r="P114" s="775"/>
      <c r="Q114" s="29"/>
      <c r="R114" s="29"/>
      <c r="S114" s="29"/>
      <c r="T114" s="29"/>
      <c r="U114" s="29"/>
      <c r="V114" s="29"/>
      <c r="W114" s="29"/>
      <c r="X114" s="29"/>
      <c r="Y114" s="29"/>
      <c r="AV114" s="547"/>
      <c r="AW114" s="548"/>
      <c r="AX114" s="386"/>
      <c r="AY114" s="548"/>
      <c r="AZ114" s="386"/>
      <c r="BA114" s="387"/>
      <c r="BJ114" s="386"/>
      <c r="BK114" s="387"/>
      <c r="BN114" s="386"/>
      <c r="BO114" s="387"/>
      <c r="BR114" s="386"/>
      <c r="BS114" s="387"/>
    </row>
    <row r="115" spans="1:71" ht="13.5" customHeight="1">
      <c r="A115" s="40"/>
      <c r="B115" s="777"/>
      <c r="C115" s="775"/>
      <c r="D115" s="775"/>
      <c r="E115" s="775"/>
      <c r="F115" s="775"/>
      <c r="G115" s="775"/>
      <c r="H115" s="775"/>
      <c r="I115" s="775"/>
      <c r="J115" s="775"/>
      <c r="K115" s="775"/>
      <c r="L115" s="775"/>
      <c r="M115" s="775"/>
      <c r="N115" s="775"/>
      <c r="O115" s="775"/>
      <c r="P115" s="775"/>
      <c r="Q115" s="29"/>
      <c r="R115" s="29"/>
      <c r="S115" s="29"/>
      <c r="T115" s="29"/>
      <c r="U115" s="29"/>
      <c r="V115" s="29"/>
      <c r="W115" s="29"/>
      <c r="X115" s="29"/>
      <c r="Y115" s="29"/>
      <c r="AV115" s="547"/>
      <c r="AW115" s="548"/>
      <c r="AX115" s="386"/>
      <c r="AY115" s="548"/>
      <c r="AZ115" s="386"/>
      <c r="BA115" s="387"/>
      <c r="BJ115" s="386"/>
      <c r="BK115" s="387"/>
      <c r="BN115" s="386"/>
      <c r="BO115" s="387"/>
      <c r="BR115" s="386"/>
      <c r="BS115" s="387"/>
    </row>
    <row r="116" spans="1:71" ht="13.5" customHeight="1">
      <c r="A116" s="40"/>
      <c r="B116" s="777"/>
      <c r="C116" s="775"/>
      <c r="D116" s="775"/>
      <c r="E116" s="775"/>
      <c r="F116" s="775"/>
      <c r="G116" s="775"/>
      <c r="H116" s="775"/>
      <c r="I116" s="775"/>
      <c r="J116" s="775"/>
      <c r="K116" s="775"/>
      <c r="L116" s="775"/>
      <c r="M116" s="775"/>
      <c r="N116" s="775"/>
      <c r="O116" s="775"/>
      <c r="P116" s="775"/>
      <c r="Q116" s="29"/>
      <c r="R116" s="29"/>
      <c r="S116" s="29"/>
      <c r="T116" s="29"/>
      <c r="U116" s="29"/>
      <c r="V116" s="29"/>
      <c r="W116" s="29"/>
      <c r="X116" s="29"/>
      <c r="Y116" s="29"/>
      <c r="AV116" s="547"/>
      <c r="AW116" s="548"/>
      <c r="AX116" s="386"/>
      <c r="AY116" s="548"/>
      <c r="AZ116" s="386"/>
      <c r="BA116" s="387"/>
      <c r="BJ116" s="386"/>
      <c r="BK116" s="387"/>
      <c r="BN116" s="386"/>
      <c r="BO116" s="387"/>
      <c r="BR116" s="386"/>
      <c r="BS116" s="387"/>
    </row>
    <row r="117" spans="1:71" ht="13.5" customHeight="1">
      <c r="A117" s="40"/>
      <c r="B117" s="777"/>
      <c r="C117" s="775"/>
      <c r="D117" s="775"/>
      <c r="E117" s="775"/>
      <c r="F117" s="775"/>
      <c r="G117" s="775"/>
      <c r="H117" s="775"/>
      <c r="I117" s="775"/>
      <c r="J117" s="775"/>
      <c r="K117" s="775"/>
      <c r="L117" s="775"/>
      <c r="M117" s="775"/>
      <c r="N117" s="775"/>
      <c r="O117" s="775"/>
      <c r="P117" s="775"/>
      <c r="Q117" s="29"/>
      <c r="R117" s="29"/>
      <c r="S117" s="29"/>
      <c r="T117" s="29"/>
      <c r="U117" s="29"/>
      <c r="V117" s="29"/>
      <c r="W117" s="29"/>
      <c r="X117" s="29"/>
      <c r="Y117" s="29"/>
      <c r="AV117" s="547"/>
      <c r="AW117" s="548"/>
      <c r="AX117" s="386"/>
      <c r="AY117" s="548"/>
      <c r="AZ117" s="386"/>
      <c r="BA117" s="387"/>
      <c r="BJ117" s="386"/>
      <c r="BK117" s="387"/>
      <c r="BN117" s="386"/>
      <c r="BO117" s="387"/>
      <c r="BR117" s="386"/>
      <c r="BS117" s="387"/>
    </row>
    <row r="118" spans="1:71" ht="13.5" customHeight="1">
      <c r="A118" s="40"/>
      <c r="B118" s="777"/>
      <c r="C118" s="775"/>
      <c r="D118" s="775"/>
      <c r="E118" s="775"/>
      <c r="F118" s="775"/>
      <c r="G118" s="775"/>
      <c r="H118" s="775"/>
      <c r="I118" s="775"/>
      <c r="J118" s="775"/>
      <c r="K118" s="775"/>
      <c r="L118" s="775"/>
      <c r="M118" s="775"/>
      <c r="N118" s="775"/>
      <c r="O118" s="775"/>
      <c r="P118" s="775"/>
      <c r="Q118" s="29"/>
      <c r="R118" s="29"/>
      <c r="S118" s="29"/>
      <c r="T118" s="29"/>
      <c r="U118" s="29"/>
      <c r="V118" s="29"/>
      <c r="W118" s="29"/>
      <c r="X118" s="29"/>
      <c r="Y118" s="29"/>
      <c r="AV118" s="547"/>
      <c r="AW118" s="548"/>
      <c r="AX118" s="386"/>
      <c r="AY118" s="548"/>
      <c r="AZ118" s="386"/>
      <c r="BA118" s="387"/>
      <c r="BJ118" s="386"/>
      <c r="BK118" s="387"/>
      <c r="BN118" s="386"/>
      <c r="BO118" s="387"/>
      <c r="BR118" s="386"/>
      <c r="BS118" s="387"/>
    </row>
    <row r="119" spans="1:71" ht="13.5" customHeight="1">
      <c r="A119" s="40"/>
      <c r="B119" s="777"/>
      <c r="C119" s="775"/>
      <c r="D119" s="775"/>
      <c r="E119" s="775"/>
      <c r="F119" s="775"/>
      <c r="G119" s="775"/>
      <c r="H119" s="775"/>
      <c r="I119" s="775"/>
      <c r="J119" s="775"/>
      <c r="K119" s="775"/>
      <c r="L119" s="775"/>
      <c r="M119" s="775"/>
      <c r="N119" s="775"/>
      <c r="O119" s="775"/>
      <c r="P119" s="775"/>
      <c r="Q119" s="29"/>
      <c r="R119" s="29"/>
      <c r="S119" s="29"/>
      <c r="T119" s="29"/>
      <c r="U119" s="29"/>
      <c r="V119" s="29"/>
      <c r="W119" s="29"/>
      <c r="X119" s="29"/>
      <c r="Y119" s="29"/>
      <c r="AV119" s="547"/>
      <c r="AW119" s="548"/>
      <c r="AX119" s="386"/>
      <c r="AY119" s="548"/>
      <c r="AZ119" s="386"/>
      <c r="BA119" s="387"/>
      <c r="BJ119" s="386"/>
      <c r="BK119" s="387"/>
      <c r="BN119" s="386"/>
      <c r="BO119" s="387"/>
      <c r="BR119" s="386"/>
      <c r="BS119" s="387"/>
    </row>
    <row r="120" spans="1:71" ht="13.5" customHeight="1">
      <c r="A120" s="40"/>
      <c r="B120" s="777"/>
      <c r="C120" s="775"/>
      <c r="D120" s="775"/>
      <c r="E120" s="775"/>
      <c r="F120" s="775"/>
      <c r="G120" s="775"/>
      <c r="H120" s="775"/>
      <c r="I120" s="775"/>
      <c r="J120" s="775"/>
      <c r="K120" s="775"/>
      <c r="L120" s="775"/>
      <c r="M120" s="775"/>
      <c r="N120" s="775"/>
      <c r="O120" s="775"/>
      <c r="P120" s="775"/>
      <c r="Q120" s="29"/>
      <c r="R120" s="29"/>
      <c r="S120" s="29"/>
      <c r="T120" s="29"/>
      <c r="U120" s="29"/>
      <c r="V120" s="29"/>
      <c r="W120" s="29"/>
      <c r="X120" s="29"/>
      <c r="Y120" s="29"/>
      <c r="AV120" s="547"/>
      <c r="AW120" s="548"/>
      <c r="AX120" s="386"/>
      <c r="AY120" s="548"/>
      <c r="AZ120" s="386"/>
      <c r="BA120" s="387"/>
      <c r="BJ120" s="386"/>
      <c r="BK120" s="387"/>
      <c r="BN120" s="386"/>
      <c r="BO120" s="387"/>
      <c r="BR120" s="386"/>
      <c r="BS120" s="387"/>
    </row>
    <row r="121" spans="1:71" ht="13.5" customHeight="1">
      <c r="A121" s="40"/>
      <c r="B121" s="777"/>
      <c r="C121" s="775"/>
      <c r="D121" s="775"/>
      <c r="E121" s="775"/>
      <c r="F121" s="775"/>
      <c r="G121" s="775"/>
      <c r="H121" s="775"/>
      <c r="I121" s="775"/>
      <c r="J121" s="775"/>
      <c r="K121" s="775"/>
      <c r="L121" s="775"/>
      <c r="M121" s="775"/>
      <c r="N121" s="775"/>
      <c r="O121" s="775"/>
      <c r="P121" s="775"/>
      <c r="Q121" s="29"/>
      <c r="R121" s="29"/>
      <c r="S121" s="29"/>
      <c r="T121" s="29"/>
      <c r="U121" s="29"/>
      <c r="V121" s="29"/>
      <c r="W121" s="29"/>
      <c r="X121" s="29"/>
      <c r="Y121" s="29"/>
      <c r="AV121" s="547"/>
      <c r="AW121" s="548"/>
      <c r="AX121" s="386"/>
      <c r="AY121" s="548"/>
      <c r="AZ121" s="386"/>
      <c r="BA121" s="387"/>
      <c r="BJ121" s="386"/>
      <c r="BK121" s="387"/>
      <c r="BN121" s="386"/>
      <c r="BO121" s="387"/>
      <c r="BR121" s="386"/>
      <c r="BS121" s="387"/>
    </row>
    <row r="122" spans="1:71" ht="13.5" customHeight="1">
      <c r="A122" s="40"/>
      <c r="B122" s="777"/>
      <c r="C122" s="775"/>
      <c r="D122" s="775"/>
      <c r="E122" s="775"/>
      <c r="F122" s="775"/>
      <c r="G122" s="775"/>
      <c r="H122" s="775"/>
      <c r="I122" s="775"/>
      <c r="J122" s="775"/>
      <c r="K122" s="775"/>
      <c r="L122" s="775"/>
      <c r="M122" s="775"/>
      <c r="N122" s="775"/>
      <c r="O122" s="775"/>
      <c r="P122" s="775"/>
      <c r="Q122" s="29"/>
      <c r="R122" s="29"/>
      <c r="S122" s="29"/>
      <c r="T122" s="29"/>
      <c r="U122" s="29"/>
      <c r="V122" s="29"/>
      <c r="W122" s="29"/>
      <c r="X122" s="29"/>
      <c r="Y122" s="29"/>
      <c r="AV122" s="547"/>
      <c r="AW122" s="548"/>
      <c r="AX122" s="386"/>
      <c r="AY122" s="548"/>
      <c r="AZ122" s="386"/>
      <c r="BA122" s="387"/>
      <c r="BJ122" s="386"/>
      <c r="BK122" s="387"/>
      <c r="BN122" s="386"/>
      <c r="BO122" s="387"/>
      <c r="BR122" s="386"/>
      <c r="BS122" s="387"/>
    </row>
    <row r="123" spans="1:71" ht="13.5" customHeight="1">
      <c r="A123" s="40"/>
      <c r="B123" s="778"/>
      <c r="C123" s="775"/>
      <c r="D123" s="775"/>
      <c r="E123" s="775"/>
      <c r="F123" s="775"/>
      <c r="G123" s="775"/>
      <c r="H123" s="775"/>
      <c r="I123" s="775"/>
      <c r="J123" s="775"/>
      <c r="K123" s="775"/>
      <c r="L123" s="775"/>
      <c r="M123" s="775"/>
      <c r="N123" s="775"/>
      <c r="O123" s="775"/>
      <c r="P123" s="775"/>
      <c r="Q123" s="29"/>
      <c r="R123" s="29"/>
      <c r="S123" s="29"/>
      <c r="T123" s="29"/>
      <c r="U123" s="29"/>
      <c r="V123" s="29"/>
      <c r="W123" s="29"/>
      <c r="X123" s="29"/>
      <c r="Y123" s="29"/>
      <c r="AV123" s="547" t="s">
        <v>611</v>
      </c>
      <c r="AW123" s="548">
        <v>669000</v>
      </c>
      <c r="AY123" s="548"/>
      <c r="AZ123" s="386" t="s">
        <v>700</v>
      </c>
      <c r="BA123" s="387">
        <v>6016113</v>
      </c>
      <c r="BJ123" s="386"/>
      <c r="BK123" s="387"/>
      <c r="BN123" s="386"/>
      <c r="BO123" s="387"/>
      <c r="BR123" s="386"/>
      <c r="BS123" s="387"/>
    </row>
    <row r="124" spans="1:71" ht="13.5" customHeight="1">
      <c r="A124" s="40"/>
      <c r="B124" s="777"/>
      <c r="C124" s="775"/>
      <c r="D124" s="775"/>
      <c r="E124" s="775"/>
      <c r="F124" s="775"/>
      <c r="G124" s="775">
        <f t="shared" ref="G124:N124" si="32">+G33</f>
        <v>2220100</v>
      </c>
      <c r="H124" s="775">
        <f t="shared" si="32"/>
        <v>772100</v>
      </c>
      <c r="I124" s="775">
        <f t="shared" si="32"/>
        <v>0</v>
      </c>
      <c r="J124" s="775">
        <f t="shared" si="32"/>
        <v>0</v>
      </c>
      <c r="K124" s="775">
        <f t="shared" si="32"/>
        <v>0</v>
      </c>
      <c r="L124" s="775">
        <f t="shared" si="32"/>
        <v>0</v>
      </c>
      <c r="M124" s="775">
        <f t="shared" si="32"/>
        <v>0</v>
      </c>
      <c r="N124" s="775">
        <f t="shared" si="32"/>
        <v>0</v>
      </c>
      <c r="O124" s="549"/>
      <c r="P124" s="775"/>
      <c r="Q124" s="29"/>
      <c r="R124" s="29"/>
      <c r="S124" s="29"/>
      <c r="T124" s="29"/>
      <c r="U124" s="29"/>
      <c r="V124" s="29"/>
      <c r="W124" s="29"/>
      <c r="X124" s="29"/>
      <c r="Y124" s="29"/>
      <c r="AV124" s="547" t="s">
        <v>610</v>
      </c>
      <c r="AW124" s="548">
        <v>275118</v>
      </c>
      <c r="AY124" s="548"/>
      <c r="AZ124" s="386" t="s">
        <v>700</v>
      </c>
      <c r="BA124" s="387">
        <v>6286730</v>
      </c>
      <c r="BJ124" s="386"/>
      <c r="BK124" s="387"/>
      <c r="BN124" s="386"/>
      <c r="BO124" s="387"/>
      <c r="BR124" s="386"/>
      <c r="BS124" s="387"/>
    </row>
    <row r="125" spans="1:71" ht="13.5" customHeight="1">
      <c r="A125" s="40"/>
      <c r="B125" s="778"/>
      <c r="C125" s="775"/>
      <c r="D125" s="775"/>
      <c r="E125" s="775"/>
      <c r="F125" s="775"/>
      <c r="G125" s="775"/>
      <c r="H125" s="775"/>
      <c r="I125" s="775"/>
      <c r="J125" s="775"/>
      <c r="K125" s="775"/>
      <c r="L125" s="775"/>
      <c r="M125" s="775"/>
      <c r="N125" s="775"/>
      <c r="O125" s="775"/>
      <c r="P125" s="775"/>
      <c r="Q125" s="29"/>
      <c r="R125" s="29"/>
      <c r="S125" s="29"/>
      <c r="T125" s="29"/>
      <c r="U125" s="29"/>
      <c r="V125" s="29"/>
      <c r="W125" s="29"/>
      <c r="X125" s="29"/>
      <c r="Y125" s="29"/>
      <c r="AV125" s="547" t="s">
        <v>610</v>
      </c>
      <c r="AW125" s="548">
        <v>217175</v>
      </c>
      <c r="AY125" s="548"/>
      <c r="AZ125" s="386" t="s">
        <v>700</v>
      </c>
      <c r="BA125" s="387">
        <v>1430992</v>
      </c>
      <c r="BJ125" s="386"/>
      <c r="BK125" s="387"/>
      <c r="BN125" s="386"/>
      <c r="BO125" s="387"/>
      <c r="BR125" s="386"/>
      <c r="BS125" s="387"/>
    </row>
    <row r="126" spans="1:71" ht="13.5" customHeight="1">
      <c r="A126" s="40"/>
      <c r="B126" s="778"/>
      <c r="C126" s="775"/>
      <c r="D126" s="775"/>
      <c r="E126" s="775"/>
      <c r="F126" s="775"/>
      <c r="G126" s="775"/>
      <c r="H126" s="775"/>
      <c r="I126" s="775"/>
      <c r="J126" s="775"/>
      <c r="K126" s="775"/>
      <c r="L126" s="775"/>
      <c r="M126" s="775"/>
      <c r="N126" s="775"/>
      <c r="O126" s="776"/>
      <c r="P126" s="775"/>
      <c r="Q126" s="29"/>
      <c r="R126" s="29"/>
      <c r="S126" s="29"/>
      <c r="T126" s="29"/>
      <c r="U126" s="29"/>
      <c r="V126" s="29"/>
      <c r="W126" s="29"/>
      <c r="X126" s="29"/>
      <c r="Y126" s="29"/>
      <c r="AV126" s="547" t="s">
        <v>610</v>
      </c>
      <c r="AW126" s="548">
        <v>570000</v>
      </c>
      <c r="AY126" s="548"/>
      <c r="AZ126" s="386" t="s">
        <v>700</v>
      </c>
      <c r="BA126" s="387">
        <v>1378910</v>
      </c>
      <c r="BJ126" s="386"/>
      <c r="BK126" s="387"/>
      <c r="BN126" s="386"/>
      <c r="BO126" s="387"/>
      <c r="BR126" s="386"/>
      <c r="BS126" s="387"/>
    </row>
    <row r="127" spans="1:71" ht="13.5" customHeight="1">
      <c r="A127" s="40"/>
      <c r="B127" s="777"/>
      <c r="C127" s="775"/>
      <c r="D127" s="775"/>
      <c r="E127" s="775"/>
      <c r="F127" s="775"/>
      <c r="G127" s="775"/>
      <c r="H127" s="775"/>
      <c r="I127" s="775"/>
      <c r="J127" s="775"/>
      <c r="K127" s="775"/>
      <c r="L127" s="775"/>
      <c r="M127" s="775"/>
      <c r="N127" s="775"/>
      <c r="O127" s="776"/>
      <c r="P127" s="775"/>
      <c r="Q127" s="29"/>
      <c r="R127" s="29"/>
      <c r="S127" s="29"/>
      <c r="T127" s="29"/>
      <c r="U127" s="29"/>
      <c r="V127" s="29"/>
      <c r="W127" s="29"/>
      <c r="X127" s="29"/>
      <c r="Y127" s="29"/>
      <c r="AV127" s="547" t="s">
        <v>616</v>
      </c>
      <c r="AW127" s="548">
        <v>178600</v>
      </c>
      <c r="AY127" s="548"/>
      <c r="AZ127" s="386" t="s">
        <v>700</v>
      </c>
      <c r="BA127" s="387">
        <v>199225</v>
      </c>
      <c r="BJ127" s="386"/>
      <c r="BK127" s="387"/>
      <c r="BN127" s="386"/>
      <c r="BO127" s="387"/>
      <c r="BR127" s="386"/>
      <c r="BS127" s="387"/>
    </row>
    <row r="128" spans="1:71" ht="13.5" customHeight="1">
      <c r="A128" s="40"/>
      <c r="B128" s="777"/>
      <c r="C128" s="775"/>
      <c r="D128" s="775"/>
      <c r="E128" s="775"/>
      <c r="F128" s="775"/>
      <c r="G128" s="775"/>
      <c r="H128" s="775"/>
      <c r="I128" s="775"/>
      <c r="J128" s="775"/>
      <c r="K128" s="775"/>
      <c r="L128" s="775"/>
      <c r="M128" s="775"/>
      <c r="N128" s="775"/>
      <c r="O128" s="775"/>
      <c r="P128" s="775"/>
      <c r="Q128" s="29"/>
      <c r="R128" s="29"/>
      <c r="S128" s="29"/>
      <c r="T128" s="29"/>
      <c r="U128" s="29"/>
      <c r="V128" s="29"/>
      <c r="W128" s="29"/>
      <c r="X128" s="29"/>
      <c r="Y128" s="29"/>
      <c r="AV128" s="547" t="s">
        <v>616</v>
      </c>
      <c r="AW128" s="548">
        <v>40000</v>
      </c>
      <c r="AY128" s="548"/>
      <c r="AZ128" s="386" t="s">
        <v>700</v>
      </c>
      <c r="BA128" s="387">
        <v>121875</v>
      </c>
      <c r="BJ128" s="386"/>
      <c r="BK128" s="387"/>
      <c r="BN128" s="386"/>
      <c r="BO128" s="387"/>
      <c r="BR128" s="386"/>
      <c r="BS128" s="387"/>
    </row>
    <row r="129" spans="1:71" ht="13.5" customHeight="1">
      <c r="A129" s="40"/>
      <c r="B129" s="777"/>
      <c r="C129" s="775"/>
      <c r="D129" s="775"/>
      <c r="E129" s="775"/>
      <c r="F129" s="775"/>
      <c r="G129" s="775"/>
      <c r="H129" s="775"/>
      <c r="I129" s="775"/>
      <c r="J129" s="775"/>
      <c r="K129" s="775"/>
      <c r="L129" s="775"/>
      <c r="M129" s="775"/>
      <c r="N129" s="775"/>
      <c r="O129" s="775"/>
      <c r="P129" s="775"/>
      <c r="Q129" s="29"/>
      <c r="R129" s="29"/>
      <c r="S129" s="29"/>
      <c r="T129" s="29"/>
      <c r="U129" s="29"/>
      <c r="V129" s="29"/>
      <c r="W129" s="29"/>
      <c r="X129" s="29"/>
      <c r="Y129" s="29"/>
      <c r="AV129" s="547" t="s">
        <v>616</v>
      </c>
      <c r="AW129" s="548">
        <v>141000</v>
      </c>
      <c r="AY129" s="548"/>
      <c r="AZ129" s="386" t="s">
        <v>700</v>
      </c>
      <c r="BA129" s="387">
        <v>163800</v>
      </c>
      <c r="BJ129" s="386"/>
      <c r="BK129" s="387"/>
      <c r="BN129" s="386"/>
      <c r="BO129" s="387"/>
      <c r="BR129" s="386"/>
      <c r="BS129" s="387"/>
    </row>
    <row r="130" spans="1:71" ht="13.5" customHeight="1">
      <c r="A130" s="40"/>
      <c r="B130" s="777"/>
      <c r="C130" s="775"/>
      <c r="D130" s="775"/>
      <c r="E130" s="775"/>
      <c r="F130" s="775"/>
      <c r="G130" s="775"/>
      <c r="H130" s="775"/>
      <c r="I130" s="775"/>
      <c r="J130" s="775"/>
      <c r="K130" s="775"/>
      <c r="L130" s="775"/>
      <c r="M130" s="775"/>
      <c r="N130" s="775"/>
      <c r="O130" s="775"/>
      <c r="P130" s="775"/>
      <c r="Q130" s="29"/>
      <c r="R130" s="29"/>
      <c r="S130" s="29"/>
      <c r="T130" s="29"/>
      <c r="U130" s="29"/>
      <c r="V130" s="29"/>
      <c r="W130" s="29"/>
      <c r="X130" s="29"/>
      <c r="Y130" s="29"/>
      <c r="AV130" s="547"/>
      <c r="AW130" s="548"/>
      <c r="AY130" s="548"/>
      <c r="AZ130" s="386"/>
      <c r="BA130" s="387"/>
      <c r="BJ130" s="386"/>
      <c r="BK130" s="387"/>
      <c r="BN130" s="386"/>
      <c r="BO130" s="387"/>
      <c r="BR130" s="386"/>
      <c r="BS130" s="387"/>
    </row>
    <row r="131" spans="1:71" ht="13.5" customHeight="1">
      <c r="A131" s="40"/>
      <c r="B131" s="777"/>
      <c r="C131" s="775"/>
      <c r="D131" s="775"/>
      <c r="E131" s="775"/>
      <c r="F131" s="775"/>
      <c r="G131" s="775"/>
      <c r="H131" s="775"/>
      <c r="I131" s="775"/>
      <c r="J131" s="775"/>
      <c r="K131" s="775"/>
      <c r="L131" s="775"/>
      <c r="M131" s="775"/>
      <c r="N131" s="775"/>
      <c r="O131" s="775"/>
      <c r="P131" s="775"/>
      <c r="Q131" s="29"/>
      <c r="R131" s="29"/>
      <c r="S131" s="29"/>
      <c r="T131" s="29"/>
      <c r="U131" s="29"/>
      <c r="V131" s="29"/>
      <c r="W131" s="29"/>
      <c r="X131" s="29"/>
      <c r="Y131" s="29"/>
      <c r="AV131" s="547"/>
      <c r="AW131" s="548"/>
      <c r="AY131" s="548"/>
      <c r="AZ131" s="386"/>
      <c r="BA131" s="387"/>
      <c r="BJ131" s="386"/>
      <c r="BK131" s="387"/>
      <c r="BN131" s="386"/>
      <c r="BO131" s="387"/>
      <c r="BR131" s="386"/>
      <c r="BS131" s="387"/>
    </row>
    <row r="132" spans="1:71" ht="13.5" customHeight="1">
      <c r="A132" s="40"/>
      <c r="B132" s="777"/>
      <c r="C132" s="775"/>
      <c r="D132" s="775"/>
      <c r="E132" s="775"/>
      <c r="F132" s="775"/>
      <c r="G132" s="775"/>
      <c r="H132" s="775"/>
      <c r="I132" s="775"/>
      <c r="J132" s="775"/>
      <c r="K132" s="775"/>
      <c r="L132" s="775"/>
      <c r="M132" s="775"/>
      <c r="N132" s="775"/>
      <c r="O132" s="775"/>
      <c r="P132" s="775"/>
      <c r="Q132" s="29"/>
      <c r="R132" s="29"/>
      <c r="S132" s="29"/>
      <c r="T132" s="29"/>
      <c r="U132" s="29"/>
      <c r="V132" s="29"/>
      <c r="W132" s="29"/>
      <c r="X132" s="29"/>
      <c r="Y132" s="29"/>
      <c r="AV132" s="547"/>
      <c r="AW132" s="548"/>
      <c r="AY132" s="548"/>
      <c r="AZ132" s="386"/>
      <c r="BA132" s="387"/>
      <c r="BJ132" s="386"/>
      <c r="BK132" s="387"/>
      <c r="BN132" s="386"/>
      <c r="BO132" s="387"/>
      <c r="BR132" s="386"/>
      <c r="BS132" s="387"/>
    </row>
    <row r="133" spans="1:71" ht="13.5" customHeight="1">
      <c r="A133" s="40"/>
      <c r="B133" s="777"/>
      <c r="C133" s="775"/>
      <c r="D133" s="775"/>
      <c r="E133" s="775"/>
      <c r="F133" s="775"/>
      <c r="G133" s="775"/>
      <c r="H133" s="775"/>
      <c r="I133" s="775"/>
      <c r="J133" s="775"/>
      <c r="K133" s="775"/>
      <c r="L133" s="775"/>
      <c r="M133" s="775"/>
      <c r="N133" s="775"/>
      <c r="O133" s="775"/>
      <c r="P133" s="775"/>
      <c r="Q133" s="29"/>
      <c r="R133" s="29"/>
      <c r="S133" s="29"/>
      <c r="T133" s="29"/>
      <c r="U133" s="29"/>
      <c r="V133" s="29"/>
      <c r="W133" s="29"/>
      <c r="X133" s="29"/>
      <c r="Y133" s="29"/>
      <c r="AV133" s="547"/>
      <c r="AW133" s="548"/>
      <c r="AY133" s="548"/>
      <c r="AZ133" s="386"/>
      <c r="BA133" s="387"/>
      <c r="BJ133" s="386"/>
      <c r="BK133" s="387"/>
      <c r="BN133" s="386"/>
      <c r="BO133" s="387"/>
      <c r="BR133" s="386"/>
      <c r="BS133" s="387"/>
    </row>
    <row r="134" spans="1:71" ht="13.5" customHeight="1">
      <c r="A134" s="40"/>
      <c r="B134" s="777"/>
      <c r="C134" s="775"/>
      <c r="D134" s="775"/>
      <c r="E134" s="775"/>
      <c r="F134" s="775"/>
      <c r="G134" s="775"/>
      <c r="H134" s="775"/>
      <c r="I134" s="775"/>
      <c r="J134" s="775"/>
      <c r="K134" s="775"/>
      <c r="L134" s="775"/>
      <c r="M134" s="775"/>
      <c r="N134" s="775"/>
      <c r="O134" s="775"/>
      <c r="P134" s="775"/>
      <c r="Q134" s="29"/>
      <c r="R134" s="29"/>
      <c r="S134" s="29"/>
      <c r="T134" s="29"/>
      <c r="U134" s="29"/>
      <c r="V134" s="29"/>
      <c r="W134" s="29"/>
      <c r="X134" s="29"/>
      <c r="Y134" s="29"/>
      <c r="AV134" s="547"/>
      <c r="AW134" s="548"/>
      <c r="AY134" s="548"/>
      <c r="AZ134" s="386"/>
      <c r="BA134" s="387"/>
      <c r="BJ134" s="386"/>
      <c r="BK134" s="387"/>
      <c r="BN134" s="386"/>
      <c r="BO134" s="387"/>
      <c r="BR134" s="386"/>
      <c r="BS134" s="387"/>
    </row>
    <row r="135" spans="1:71" ht="13.5" customHeight="1">
      <c r="A135" s="40"/>
      <c r="B135" s="777"/>
      <c r="C135" s="775"/>
      <c r="D135" s="775"/>
      <c r="E135" s="775"/>
      <c r="F135" s="775"/>
      <c r="G135" s="775"/>
      <c r="H135" s="775"/>
      <c r="I135" s="775"/>
      <c r="J135" s="775"/>
      <c r="K135" s="775"/>
      <c r="L135" s="775"/>
      <c r="M135" s="775"/>
      <c r="N135" s="775"/>
      <c r="O135" s="775"/>
      <c r="P135" s="775"/>
      <c r="Q135" s="29"/>
      <c r="R135" s="29"/>
      <c r="S135" s="29"/>
      <c r="T135" s="29"/>
      <c r="U135" s="29"/>
      <c r="V135" s="29"/>
      <c r="W135" s="29"/>
      <c r="X135" s="29"/>
      <c r="Y135" s="29"/>
      <c r="AV135" s="547"/>
      <c r="AW135" s="548"/>
      <c r="AY135" s="548"/>
      <c r="AZ135" s="386"/>
      <c r="BA135" s="387"/>
      <c r="BJ135" s="386"/>
      <c r="BK135" s="387"/>
      <c r="BN135" s="386"/>
      <c r="BO135" s="387"/>
      <c r="BR135" s="386"/>
      <c r="BS135" s="387"/>
    </row>
    <row r="136" spans="1:71" ht="13.5" customHeight="1">
      <c r="A136" s="40"/>
      <c r="B136" s="777"/>
      <c r="C136" s="775"/>
      <c r="D136" s="775"/>
      <c r="E136" s="775"/>
      <c r="F136" s="775"/>
      <c r="G136" s="775"/>
      <c r="H136" s="775"/>
      <c r="I136" s="775"/>
      <c r="J136" s="775"/>
      <c r="K136" s="775"/>
      <c r="L136" s="775"/>
      <c r="M136" s="775"/>
      <c r="N136" s="775"/>
      <c r="O136" s="775"/>
      <c r="P136" s="775"/>
      <c r="Q136" s="29"/>
      <c r="R136" s="29"/>
      <c r="S136" s="29"/>
      <c r="T136" s="29"/>
      <c r="U136" s="29"/>
      <c r="V136" s="29"/>
      <c r="W136" s="29"/>
      <c r="X136" s="29"/>
      <c r="Y136" s="29"/>
      <c r="AV136" s="547"/>
      <c r="AW136" s="548"/>
      <c r="AY136" s="548"/>
      <c r="AZ136" s="386"/>
      <c r="BA136" s="387"/>
      <c r="BJ136" s="386"/>
      <c r="BK136" s="387"/>
      <c r="BN136" s="386"/>
      <c r="BO136" s="387"/>
      <c r="BR136" s="386"/>
      <c r="BS136" s="387"/>
    </row>
    <row r="137" spans="1:71" ht="13.5" customHeight="1">
      <c r="A137" s="40"/>
      <c r="B137" s="777"/>
      <c r="C137" s="775"/>
      <c r="D137" s="775"/>
      <c r="E137" s="775"/>
      <c r="F137" s="775"/>
      <c r="G137" s="775"/>
      <c r="H137" s="775"/>
      <c r="I137" s="775"/>
      <c r="J137" s="775"/>
      <c r="K137" s="775"/>
      <c r="L137" s="775"/>
      <c r="M137" s="775"/>
      <c r="N137" s="775"/>
      <c r="O137" s="775"/>
      <c r="P137" s="775"/>
      <c r="Q137" s="29"/>
      <c r="R137" s="29"/>
      <c r="S137" s="29"/>
      <c r="T137" s="29"/>
      <c r="U137" s="29"/>
      <c r="V137" s="29"/>
      <c r="W137" s="29"/>
      <c r="X137" s="29"/>
      <c r="Y137" s="29"/>
      <c r="AV137" s="547"/>
      <c r="AW137" s="548"/>
      <c r="AY137" s="548"/>
      <c r="AZ137" s="386"/>
      <c r="BA137" s="387"/>
      <c r="BJ137" s="386"/>
      <c r="BK137" s="387"/>
      <c r="BN137" s="386"/>
      <c r="BO137" s="387"/>
      <c r="BR137" s="386"/>
      <c r="BS137" s="387"/>
    </row>
    <row r="138" spans="1:71" ht="13.5" customHeight="1">
      <c r="A138" s="40"/>
      <c r="B138" s="777"/>
      <c r="C138" s="775"/>
      <c r="D138" s="775"/>
      <c r="E138" s="775"/>
      <c r="F138" s="775"/>
      <c r="G138" s="775"/>
      <c r="H138" s="775"/>
      <c r="I138" s="775"/>
      <c r="J138" s="775"/>
      <c r="K138" s="775"/>
      <c r="L138" s="775"/>
      <c r="M138" s="775"/>
      <c r="N138" s="775"/>
      <c r="O138" s="775"/>
      <c r="P138" s="775"/>
      <c r="Q138" s="29"/>
      <c r="R138" s="29"/>
      <c r="S138" s="29"/>
      <c r="T138" s="29"/>
      <c r="U138" s="29"/>
      <c r="V138" s="29"/>
      <c r="W138" s="29"/>
      <c r="X138" s="29"/>
      <c r="Y138" s="29"/>
      <c r="AV138" s="547"/>
      <c r="AW138" s="548"/>
      <c r="AY138" s="548"/>
      <c r="AZ138" s="386"/>
      <c r="BA138" s="387"/>
      <c r="BJ138" s="386"/>
      <c r="BK138" s="387"/>
      <c r="BN138" s="386"/>
      <c r="BO138" s="387"/>
      <c r="BR138" s="386"/>
      <c r="BS138" s="387"/>
    </row>
    <row r="139" spans="1:71" ht="13.5" customHeight="1">
      <c r="A139" s="40"/>
      <c r="B139" s="777"/>
      <c r="C139" s="775"/>
      <c r="D139" s="775"/>
      <c r="E139" s="775"/>
      <c r="F139" s="775"/>
      <c r="G139" s="775"/>
      <c r="H139" s="775"/>
      <c r="I139" s="775"/>
      <c r="J139" s="775"/>
      <c r="K139" s="775"/>
      <c r="L139" s="775"/>
      <c r="M139" s="775"/>
      <c r="N139" s="775"/>
      <c r="O139" s="775"/>
      <c r="P139" s="775"/>
      <c r="Q139" s="29"/>
      <c r="R139" s="29"/>
      <c r="S139" s="29"/>
      <c r="T139" s="29"/>
      <c r="U139" s="29"/>
      <c r="V139" s="29"/>
      <c r="W139" s="29"/>
      <c r="X139" s="29"/>
      <c r="Y139" s="29"/>
      <c r="AV139" s="547"/>
      <c r="AW139" s="548"/>
      <c r="AY139" s="548"/>
      <c r="AZ139" s="386"/>
      <c r="BA139" s="387"/>
      <c r="BJ139" s="386"/>
      <c r="BK139" s="387"/>
      <c r="BN139" s="386"/>
      <c r="BO139" s="387"/>
      <c r="BR139" s="386"/>
      <c r="BS139" s="387"/>
    </row>
    <row r="140" spans="1:71" ht="13.5" customHeight="1">
      <c r="A140" s="40"/>
      <c r="B140" s="777"/>
      <c r="C140" s="775"/>
      <c r="D140" s="775"/>
      <c r="E140" s="775"/>
      <c r="F140" s="775"/>
      <c r="G140" s="775"/>
      <c r="H140" s="775"/>
      <c r="I140" s="775"/>
      <c r="J140" s="775"/>
      <c r="K140" s="775"/>
      <c r="L140" s="775"/>
      <c r="M140" s="775"/>
      <c r="N140" s="775"/>
      <c r="O140" s="775"/>
      <c r="P140" s="775"/>
      <c r="Q140" s="29"/>
      <c r="R140" s="29"/>
      <c r="S140" s="29"/>
      <c r="T140" s="29"/>
      <c r="U140" s="29"/>
      <c r="V140" s="29"/>
      <c r="W140" s="29"/>
      <c r="X140" s="29"/>
      <c r="Y140" s="29"/>
      <c r="AV140" s="547"/>
      <c r="AW140" s="548"/>
      <c r="AY140" s="548"/>
      <c r="AZ140" s="386"/>
      <c r="BA140" s="387"/>
      <c r="BJ140" s="386"/>
      <c r="BK140" s="387"/>
      <c r="BN140" s="386"/>
      <c r="BO140" s="387"/>
      <c r="BR140" s="386"/>
      <c r="BS140" s="387"/>
    </row>
    <row r="141" spans="1:71" ht="13.5" customHeight="1">
      <c r="A141" s="40"/>
      <c r="B141" s="777"/>
      <c r="C141" s="775"/>
      <c r="D141" s="775"/>
      <c r="E141" s="775"/>
      <c r="F141" s="775"/>
      <c r="G141" s="775"/>
      <c r="H141" s="775"/>
      <c r="I141" s="775"/>
      <c r="J141" s="775"/>
      <c r="K141" s="775"/>
      <c r="L141" s="775"/>
      <c r="M141" s="775"/>
      <c r="N141" s="775"/>
      <c r="O141" s="775"/>
      <c r="P141" s="775"/>
      <c r="Q141" s="29"/>
      <c r="R141" s="29"/>
      <c r="S141" s="29"/>
      <c r="T141" s="29"/>
      <c r="U141" s="29"/>
      <c r="V141" s="29"/>
      <c r="W141" s="29"/>
      <c r="X141" s="29"/>
      <c r="Y141" s="29"/>
      <c r="AV141" s="547"/>
      <c r="AW141" s="548"/>
      <c r="AY141" s="548"/>
      <c r="AZ141" s="386"/>
      <c r="BA141" s="387"/>
      <c r="BJ141" s="386"/>
      <c r="BK141" s="387"/>
      <c r="BN141" s="386"/>
      <c r="BO141" s="387"/>
      <c r="BR141" s="386"/>
      <c r="BS141" s="387"/>
    </row>
    <row r="142" spans="1:71" ht="13.5" customHeight="1">
      <c r="A142" s="40"/>
      <c r="B142" s="777"/>
      <c r="C142" s="775"/>
      <c r="D142" s="775"/>
      <c r="E142" s="775"/>
      <c r="F142" s="775"/>
      <c r="G142" s="775"/>
      <c r="H142" s="775"/>
      <c r="I142" s="775"/>
      <c r="J142" s="775"/>
      <c r="K142" s="775"/>
      <c r="L142" s="775"/>
      <c r="M142" s="775"/>
      <c r="N142" s="775"/>
      <c r="O142" s="775"/>
      <c r="P142" s="775"/>
      <c r="Q142" s="29"/>
      <c r="R142" s="29"/>
      <c r="S142" s="29"/>
      <c r="T142" s="29"/>
      <c r="U142" s="29"/>
      <c r="V142" s="29"/>
      <c r="W142" s="29"/>
      <c r="X142" s="29"/>
      <c r="Y142" s="29"/>
      <c r="AV142" s="547"/>
      <c r="AW142" s="548"/>
      <c r="AY142" s="548"/>
      <c r="AZ142" s="386"/>
      <c r="BA142" s="387"/>
      <c r="BJ142" s="386"/>
      <c r="BK142" s="387"/>
      <c r="BN142" s="386"/>
      <c r="BO142" s="387"/>
      <c r="BR142" s="386"/>
      <c r="BS142" s="387"/>
    </row>
    <row r="143" spans="1:71" ht="13.5" customHeight="1">
      <c r="A143" s="40"/>
      <c r="B143" s="777"/>
      <c r="C143" s="775"/>
      <c r="D143" s="775"/>
      <c r="E143" s="775"/>
      <c r="F143" s="775"/>
      <c r="G143" s="775"/>
      <c r="H143" s="775"/>
      <c r="I143" s="775"/>
      <c r="J143" s="775"/>
      <c r="K143" s="775"/>
      <c r="L143" s="775"/>
      <c r="M143" s="775"/>
      <c r="N143" s="775"/>
      <c r="O143" s="775"/>
      <c r="P143" s="775"/>
      <c r="Q143" s="29"/>
      <c r="R143" s="29"/>
      <c r="S143" s="29"/>
      <c r="T143" s="29"/>
      <c r="U143" s="29"/>
      <c r="V143" s="29"/>
      <c r="W143" s="29"/>
      <c r="X143" s="29"/>
      <c r="Y143" s="29"/>
      <c r="AV143" s="547"/>
      <c r="AW143" s="548"/>
      <c r="AY143" s="548"/>
      <c r="AZ143" s="386"/>
      <c r="BA143" s="387"/>
      <c r="BJ143" s="386"/>
      <c r="BK143" s="387"/>
      <c r="BN143" s="386"/>
      <c r="BO143" s="387"/>
      <c r="BR143" s="386"/>
      <c r="BS143" s="387"/>
    </row>
    <row r="144" spans="1:71" ht="13.5" customHeight="1">
      <c r="A144" s="40"/>
      <c r="B144" s="777"/>
      <c r="C144" s="775"/>
      <c r="D144" s="775"/>
      <c r="E144" s="775"/>
      <c r="F144" s="775"/>
      <c r="G144" s="775"/>
      <c r="H144" s="775"/>
      <c r="I144" s="775"/>
      <c r="J144" s="775"/>
      <c r="K144" s="775"/>
      <c r="L144" s="775"/>
      <c r="M144" s="775"/>
      <c r="N144" s="775"/>
      <c r="O144" s="775"/>
      <c r="P144" s="775"/>
      <c r="Q144" s="29"/>
      <c r="R144" s="29"/>
      <c r="S144" s="29"/>
      <c r="T144" s="29"/>
      <c r="U144" s="29"/>
      <c r="V144" s="29"/>
      <c r="W144" s="29"/>
      <c r="X144" s="29"/>
      <c r="Y144" s="29"/>
      <c r="AV144" s="547"/>
      <c r="AW144" s="548"/>
      <c r="AY144" s="548"/>
      <c r="AZ144" s="386"/>
      <c r="BA144" s="387"/>
      <c r="BJ144" s="386"/>
      <c r="BK144" s="387"/>
      <c r="BN144" s="386"/>
      <c r="BO144" s="387"/>
      <c r="BR144" s="386"/>
      <c r="BS144" s="387"/>
    </row>
    <row r="145" spans="1:71" ht="13.5" customHeight="1">
      <c r="A145" s="40"/>
      <c r="B145" s="777"/>
      <c r="C145" s="775"/>
      <c r="D145" s="775"/>
      <c r="E145" s="775"/>
      <c r="F145" s="775"/>
      <c r="G145" s="775"/>
      <c r="H145" s="775"/>
      <c r="I145" s="775"/>
      <c r="J145" s="775"/>
      <c r="K145" s="775"/>
      <c r="L145" s="775"/>
      <c r="M145" s="775"/>
      <c r="N145" s="775"/>
      <c r="O145" s="775"/>
      <c r="P145" s="775"/>
      <c r="Q145" s="29"/>
      <c r="R145" s="29"/>
      <c r="S145" s="29"/>
      <c r="T145" s="29"/>
      <c r="U145" s="29"/>
      <c r="V145" s="29"/>
      <c r="W145" s="29"/>
      <c r="X145" s="29"/>
      <c r="Y145" s="29"/>
      <c r="AV145" s="547"/>
      <c r="AW145" s="548"/>
      <c r="AY145" s="548"/>
      <c r="AZ145" s="386"/>
      <c r="BA145" s="387"/>
      <c r="BJ145" s="386"/>
      <c r="BK145" s="387"/>
      <c r="BN145" s="386"/>
      <c r="BO145" s="387"/>
      <c r="BR145" s="386"/>
      <c r="BS145" s="387"/>
    </row>
    <row r="146" spans="1:71" ht="13.5" customHeight="1">
      <c r="A146" s="40"/>
      <c r="B146" s="777"/>
      <c r="C146" s="775"/>
      <c r="D146" s="775"/>
      <c r="E146" s="775"/>
      <c r="F146" s="775"/>
      <c r="G146" s="775"/>
      <c r="H146" s="775"/>
      <c r="I146" s="775"/>
      <c r="J146" s="775"/>
      <c r="K146" s="775"/>
      <c r="L146" s="775"/>
      <c r="M146" s="775"/>
      <c r="N146" s="775"/>
      <c r="O146" s="775"/>
      <c r="P146" s="775"/>
      <c r="Q146" s="29"/>
      <c r="R146" s="29"/>
      <c r="S146" s="29"/>
      <c r="T146" s="29"/>
      <c r="U146" s="29"/>
      <c r="V146" s="29"/>
      <c r="W146" s="29"/>
      <c r="X146" s="29"/>
      <c r="Y146" s="29"/>
      <c r="AV146" s="547"/>
      <c r="AW146" s="548"/>
      <c r="AY146" s="548"/>
      <c r="AZ146" s="386"/>
      <c r="BA146" s="387"/>
      <c r="BJ146" s="386"/>
      <c r="BK146" s="387"/>
      <c r="BN146" s="386"/>
      <c r="BO146" s="387"/>
      <c r="BR146" s="386"/>
      <c r="BS146" s="387"/>
    </row>
    <row r="147" spans="1:71" ht="13.5" customHeight="1">
      <c r="A147" s="40"/>
      <c r="B147" s="777"/>
      <c r="C147" s="775"/>
      <c r="D147" s="775"/>
      <c r="E147" s="775"/>
      <c r="F147" s="775"/>
      <c r="G147" s="775"/>
      <c r="H147" s="775"/>
      <c r="I147" s="775"/>
      <c r="J147" s="775"/>
      <c r="K147" s="775"/>
      <c r="L147" s="775"/>
      <c r="M147" s="775"/>
      <c r="N147" s="775"/>
      <c r="O147" s="775"/>
      <c r="P147" s="775"/>
      <c r="Q147" s="29"/>
      <c r="R147" s="29"/>
      <c r="S147" s="29"/>
      <c r="T147" s="29"/>
      <c r="U147" s="29"/>
      <c r="V147" s="29"/>
      <c r="W147" s="29"/>
      <c r="X147" s="29"/>
      <c r="Y147" s="29"/>
      <c r="AV147" s="547"/>
      <c r="AW147" s="548"/>
      <c r="AY147" s="548"/>
      <c r="AZ147" s="386"/>
      <c r="BA147" s="387"/>
      <c r="BJ147" s="386"/>
      <c r="BK147" s="387"/>
      <c r="BN147" s="386"/>
      <c r="BO147" s="387"/>
      <c r="BR147" s="386"/>
      <c r="BS147" s="387"/>
    </row>
    <row r="148" spans="1:71" ht="13.5" customHeight="1">
      <c r="A148" s="40"/>
      <c r="B148" s="777"/>
      <c r="C148" s="775"/>
      <c r="D148" s="775"/>
      <c r="E148" s="775"/>
      <c r="F148" s="775"/>
      <c r="G148" s="775"/>
      <c r="H148" s="775"/>
      <c r="I148" s="775"/>
      <c r="J148" s="775"/>
      <c r="K148" s="775"/>
      <c r="L148" s="775"/>
      <c r="M148" s="775"/>
      <c r="N148" s="775"/>
      <c r="O148" s="775"/>
      <c r="P148" s="775"/>
      <c r="Q148" s="29"/>
      <c r="R148" s="29"/>
      <c r="S148" s="29"/>
      <c r="T148" s="29"/>
      <c r="U148" s="29"/>
      <c r="V148" s="29"/>
      <c r="W148" s="29"/>
      <c r="X148" s="29"/>
      <c r="Y148" s="29"/>
      <c r="AV148" s="547"/>
      <c r="AW148" s="548"/>
      <c r="AY148" s="548"/>
      <c r="AZ148" s="386"/>
      <c r="BA148" s="387"/>
      <c r="BJ148" s="386"/>
      <c r="BK148" s="387"/>
      <c r="BN148" s="386"/>
      <c r="BO148" s="387"/>
      <c r="BR148" s="386"/>
      <c r="BS148" s="387"/>
    </row>
    <row r="149" spans="1:71" ht="13.5" customHeight="1">
      <c r="A149" s="40"/>
      <c r="B149" s="777"/>
      <c r="C149" s="775"/>
      <c r="D149" s="775"/>
      <c r="E149" s="775"/>
      <c r="F149" s="775"/>
      <c r="G149" s="775"/>
      <c r="H149" s="775"/>
      <c r="I149" s="775"/>
      <c r="J149" s="775"/>
      <c r="K149" s="775"/>
      <c r="L149" s="775"/>
      <c r="M149" s="775"/>
      <c r="N149" s="775"/>
      <c r="O149" s="775"/>
      <c r="P149" s="775"/>
      <c r="Q149" s="29"/>
      <c r="R149" s="29"/>
      <c r="S149" s="29"/>
      <c r="T149" s="29"/>
      <c r="U149" s="29"/>
      <c r="V149" s="29"/>
      <c r="W149" s="29"/>
      <c r="X149" s="29"/>
      <c r="Y149" s="29"/>
      <c r="AV149" s="547"/>
      <c r="AW149" s="548"/>
      <c r="AY149" s="548"/>
      <c r="AZ149" s="386"/>
      <c r="BA149" s="387"/>
      <c r="BJ149" s="386"/>
      <c r="BK149" s="387"/>
      <c r="BN149" s="386"/>
      <c r="BO149" s="387"/>
      <c r="BR149" s="386"/>
      <c r="BS149" s="387"/>
    </row>
    <row r="150" spans="1:71" ht="13.5" customHeight="1">
      <c r="A150" s="40"/>
      <c r="B150" s="777"/>
      <c r="C150" s="775"/>
      <c r="D150" s="775"/>
      <c r="E150" s="775"/>
      <c r="F150" s="775"/>
      <c r="G150" s="775"/>
      <c r="H150" s="775"/>
      <c r="I150" s="775"/>
      <c r="J150" s="775"/>
      <c r="K150" s="775"/>
      <c r="L150" s="775"/>
      <c r="M150" s="775"/>
      <c r="N150" s="775"/>
      <c r="O150" s="775"/>
      <c r="P150" s="775"/>
      <c r="Q150" s="29"/>
      <c r="R150" s="29"/>
      <c r="S150" s="29"/>
      <c r="T150" s="29"/>
      <c r="U150" s="29"/>
      <c r="V150" s="29"/>
      <c r="W150" s="29"/>
      <c r="X150" s="29"/>
      <c r="Y150" s="29"/>
      <c r="AV150" s="547"/>
      <c r="AW150" s="548"/>
      <c r="AY150" s="548"/>
      <c r="AZ150" s="386"/>
      <c r="BA150" s="387"/>
      <c r="BJ150" s="386"/>
      <c r="BK150" s="387"/>
      <c r="BN150" s="386"/>
      <c r="BO150" s="387"/>
      <c r="BR150" s="386"/>
      <c r="BS150" s="387"/>
    </row>
    <row r="151" spans="1:71" ht="13.5" customHeight="1">
      <c r="A151" s="40"/>
      <c r="B151" s="777"/>
      <c r="C151" s="775"/>
      <c r="D151" s="775"/>
      <c r="E151" s="775"/>
      <c r="F151" s="775"/>
      <c r="G151" s="775"/>
      <c r="H151" s="775"/>
      <c r="I151" s="775"/>
      <c r="J151" s="775"/>
      <c r="K151" s="775"/>
      <c r="L151" s="775"/>
      <c r="M151" s="775"/>
      <c r="N151" s="775"/>
      <c r="O151" s="775"/>
      <c r="P151" s="775"/>
      <c r="Q151" s="29"/>
      <c r="R151" s="29"/>
      <c r="S151" s="29"/>
      <c r="T151" s="29"/>
      <c r="U151" s="29"/>
      <c r="V151" s="29"/>
      <c r="W151" s="29"/>
      <c r="X151" s="29"/>
      <c r="Y151" s="29"/>
      <c r="AV151" s="547"/>
      <c r="AW151" s="548"/>
      <c r="AY151" s="548"/>
      <c r="AZ151" s="386"/>
      <c r="BA151" s="387"/>
      <c r="BJ151" s="386"/>
      <c r="BK151" s="387"/>
      <c r="BN151" s="386"/>
      <c r="BO151" s="387"/>
      <c r="BR151" s="386"/>
      <c r="BS151" s="387"/>
    </row>
    <row r="152" spans="1:71" ht="13.5" customHeight="1">
      <c r="A152" s="40"/>
      <c r="B152" s="777"/>
      <c r="C152" s="775"/>
      <c r="D152" s="775"/>
      <c r="E152" s="775"/>
      <c r="F152" s="775"/>
      <c r="G152" s="775"/>
      <c r="H152" s="775"/>
      <c r="I152" s="775"/>
      <c r="J152" s="775"/>
      <c r="K152" s="775"/>
      <c r="L152" s="775"/>
      <c r="M152" s="775"/>
      <c r="N152" s="775"/>
      <c r="O152" s="775"/>
      <c r="P152" s="775"/>
      <c r="Q152" s="29"/>
      <c r="R152" s="29"/>
      <c r="S152" s="29"/>
      <c r="T152" s="29"/>
      <c r="U152" s="29"/>
      <c r="V152" s="29"/>
      <c r="W152" s="29"/>
      <c r="X152" s="29"/>
      <c r="Y152" s="29"/>
      <c r="AV152" s="547"/>
      <c r="AW152" s="548"/>
      <c r="AY152" s="548"/>
      <c r="AZ152" s="386"/>
      <c r="BA152" s="387"/>
      <c r="BJ152" s="386"/>
      <c r="BK152" s="387"/>
      <c r="BN152" s="386"/>
      <c r="BO152" s="387"/>
      <c r="BR152" s="386"/>
      <c r="BS152" s="387"/>
    </row>
    <row r="153" spans="1:71" ht="13.5" customHeight="1">
      <c r="A153" s="40"/>
      <c r="B153" s="777"/>
      <c r="C153" s="775"/>
      <c r="D153" s="775"/>
      <c r="E153" s="775"/>
      <c r="F153" s="775"/>
      <c r="G153" s="775"/>
      <c r="H153" s="775"/>
      <c r="I153" s="775"/>
      <c r="J153" s="775"/>
      <c r="K153" s="775"/>
      <c r="L153" s="775"/>
      <c r="M153" s="775"/>
      <c r="N153" s="775"/>
      <c r="O153" s="775"/>
      <c r="P153" s="775"/>
      <c r="Q153" s="29"/>
      <c r="R153" s="29"/>
      <c r="S153" s="29"/>
      <c r="T153" s="29"/>
      <c r="U153" s="29"/>
      <c r="V153" s="29"/>
      <c r="W153" s="29"/>
      <c r="X153" s="29"/>
      <c r="Y153" s="29"/>
      <c r="AV153" s="547"/>
      <c r="AW153" s="548"/>
      <c r="AY153" s="548"/>
      <c r="AZ153" s="386"/>
      <c r="BA153" s="387"/>
      <c r="BJ153" s="386"/>
      <c r="BK153" s="387"/>
      <c r="BN153" s="386"/>
      <c r="BO153" s="387"/>
      <c r="BR153" s="386"/>
      <c r="BS153" s="387"/>
    </row>
    <row r="154" spans="1:71" ht="13.5" customHeight="1">
      <c r="A154" s="40"/>
      <c r="B154" s="777"/>
      <c r="C154" s="775"/>
      <c r="D154" s="775"/>
      <c r="E154" s="775"/>
      <c r="F154" s="775"/>
      <c r="G154" s="775"/>
      <c r="H154" s="775"/>
      <c r="I154" s="775"/>
      <c r="J154" s="775"/>
      <c r="K154" s="775"/>
      <c r="L154" s="775"/>
      <c r="M154" s="775"/>
      <c r="N154" s="775"/>
      <c r="O154" s="775"/>
      <c r="P154" s="775"/>
      <c r="Q154" s="29"/>
      <c r="R154" s="29"/>
      <c r="S154" s="29"/>
      <c r="T154" s="29"/>
      <c r="U154" s="29"/>
      <c r="V154" s="29"/>
      <c r="W154" s="29"/>
      <c r="X154" s="29"/>
      <c r="Y154" s="29"/>
      <c r="AV154" s="547"/>
      <c r="AW154" s="548"/>
      <c r="AY154" s="548"/>
      <c r="AZ154" s="386"/>
      <c r="BA154" s="387"/>
      <c r="BJ154" s="386"/>
      <c r="BK154" s="387"/>
      <c r="BN154" s="386"/>
      <c r="BO154" s="387"/>
      <c r="BR154" s="386"/>
      <c r="BS154" s="387"/>
    </row>
    <row r="155" spans="1:71" ht="13.5" customHeight="1">
      <c r="A155" s="40"/>
      <c r="B155" s="777"/>
      <c r="C155" s="775"/>
      <c r="D155" s="775"/>
      <c r="E155" s="775"/>
      <c r="F155" s="775"/>
      <c r="G155" s="775"/>
      <c r="H155" s="775"/>
      <c r="I155" s="775"/>
      <c r="J155" s="775"/>
      <c r="K155" s="775"/>
      <c r="L155" s="775"/>
      <c r="M155" s="775"/>
      <c r="N155" s="775"/>
      <c r="O155" s="775"/>
      <c r="P155" s="775"/>
      <c r="Q155" s="29"/>
      <c r="R155" s="29"/>
      <c r="S155" s="29"/>
      <c r="T155" s="29"/>
      <c r="U155" s="29"/>
      <c r="V155" s="29"/>
      <c r="W155" s="29"/>
      <c r="X155" s="29"/>
      <c r="Y155" s="29"/>
      <c r="AV155" s="547"/>
      <c r="AW155" s="548"/>
      <c r="AY155" s="548"/>
      <c r="AZ155" s="386"/>
      <c r="BA155" s="387"/>
      <c r="BJ155" s="386"/>
      <c r="BK155" s="387"/>
      <c r="BN155" s="386"/>
      <c r="BO155" s="387"/>
      <c r="BR155" s="386"/>
      <c r="BS155" s="387"/>
    </row>
    <row r="156" spans="1:71" ht="13.5" customHeight="1">
      <c r="A156" s="40"/>
      <c r="B156" s="777"/>
      <c r="C156" s="775"/>
      <c r="D156" s="775"/>
      <c r="E156" s="775"/>
      <c r="F156" s="775"/>
      <c r="G156" s="775"/>
      <c r="H156" s="775"/>
      <c r="I156" s="775"/>
      <c r="J156" s="775"/>
      <c r="K156" s="775"/>
      <c r="L156" s="775"/>
      <c r="M156" s="775"/>
      <c r="N156" s="775"/>
      <c r="O156" s="775"/>
      <c r="P156" s="775"/>
      <c r="Q156" s="29"/>
      <c r="R156" s="29"/>
      <c r="S156" s="29"/>
      <c r="T156" s="29"/>
      <c r="U156" s="29"/>
      <c r="V156" s="29"/>
      <c r="W156" s="29"/>
      <c r="X156" s="29"/>
      <c r="Y156" s="29"/>
      <c r="AV156" s="547"/>
      <c r="AW156" s="548"/>
      <c r="AY156" s="548"/>
      <c r="AZ156" s="386"/>
      <c r="BA156" s="387"/>
      <c r="BJ156" s="386"/>
      <c r="BK156" s="387"/>
      <c r="BN156" s="386"/>
      <c r="BO156" s="387"/>
      <c r="BR156" s="386"/>
      <c r="BS156" s="387"/>
    </row>
    <row r="157" spans="1:71" ht="13.5" customHeight="1">
      <c r="A157" s="40"/>
      <c r="B157" s="777"/>
      <c r="C157" s="775"/>
      <c r="D157" s="775"/>
      <c r="E157" s="775"/>
      <c r="F157" s="775"/>
      <c r="G157" s="775"/>
      <c r="H157" s="775"/>
      <c r="I157" s="775"/>
      <c r="J157" s="775"/>
      <c r="K157" s="775"/>
      <c r="L157" s="775"/>
      <c r="M157" s="775"/>
      <c r="N157" s="775"/>
      <c r="O157" s="775"/>
      <c r="P157" s="775"/>
      <c r="Q157" s="29"/>
      <c r="R157" s="29"/>
      <c r="S157" s="29"/>
      <c r="T157" s="29"/>
      <c r="U157" s="29"/>
      <c r="V157" s="29"/>
      <c r="W157" s="29"/>
      <c r="X157" s="29"/>
      <c r="Y157" s="29"/>
      <c r="AV157" s="547"/>
      <c r="AW157" s="548"/>
      <c r="AY157" s="548"/>
      <c r="AZ157" s="386"/>
      <c r="BA157" s="387"/>
      <c r="BJ157" s="386"/>
      <c r="BK157" s="387"/>
      <c r="BN157" s="386"/>
      <c r="BO157" s="387"/>
      <c r="BR157" s="386"/>
      <c r="BS157" s="387"/>
    </row>
    <row r="158" spans="1:71" ht="13.5" customHeight="1">
      <c r="A158" s="40"/>
      <c r="B158" s="777"/>
      <c r="C158" s="775"/>
      <c r="D158" s="775"/>
      <c r="E158" s="775"/>
      <c r="F158" s="775"/>
      <c r="G158" s="775"/>
      <c r="H158" s="775"/>
      <c r="I158" s="775"/>
      <c r="J158" s="775"/>
      <c r="K158" s="775"/>
      <c r="L158" s="775"/>
      <c r="M158" s="775"/>
      <c r="N158" s="775"/>
      <c r="O158" s="775"/>
      <c r="P158" s="775"/>
      <c r="Q158" s="29"/>
      <c r="R158" s="29"/>
      <c r="S158" s="29"/>
      <c r="T158" s="29"/>
      <c r="U158" s="29"/>
      <c r="V158" s="29"/>
      <c r="W158" s="29"/>
      <c r="X158" s="29"/>
      <c r="Y158" s="29"/>
      <c r="AV158" s="547"/>
      <c r="AW158" s="548"/>
      <c r="AY158" s="548"/>
      <c r="AZ158" s="386"/>
      <c r="BA158" s="387"/>
      <c r="BJ158" s="386"/>
      <c r="BK158" s="387"/>
      <c r="BN158" s="386"/>
      <c r="BO158" s="387"/>
      <c r="BR158" s="386"/>
      <c r="BS158" s="387"/>
    </row>
    <row r="159" spans="1:71" ht="13.5" customHeight="1">
      <c r="A159" s="40"/>
      <c r="B159" s="777"/>
      <c r="C159" s="775"/>
      <c r="D159" s="775"/>
      <c r="E159" s="775"/>
      <c r="F159" s="775"/>
      <c r="G159" s="775"/>
      <c r="H159" s="775"/>
      <c r="I159" s="775"/>
      <c r="J159" s="775"/>
      <c r="K159" s="775"/>
      <c r="L159" s="775"/>
      <c r="M159" s="775"/>
      <c r="N159" s="775"/>
      <c r="O159" s="775"/>
      <c r="P159" s="775"/>
      <c r="Q159" s="29"/>
      <c r="R159" s="29"/>
      <c r="S159" s="29"/>
      <c r="T159" s="29"/>
      <c r="U159" s="29"/>
      <c r="V159" s="29"/>
      <c r="W159" s="29"/>
      <c r="X159" s="29"/>
      <c r="Y159" s="29"/>
      <c r="AV159" s="547"/>
      <c r="AW159" s="548"/>
      <c r="AY159" s="548"/>
      <c r="AZ159" s="386"/>
      <c r="BA159" s="387"/>
      <c r="BJ159" s="386"/>
      <c r="BK159" s="387"/>
      <c r="BN159" s="386"/>
      <c r="BO159" s="387"/>
      <c r="BR159" s="386"/>
      <c r="BS159" s="387"/>
    </row>
    <row r="160" spans="1:71" ht="13.5" customHeight="1">
      <c r="A160" s="40"/>
      <c r="B160" s="777"/>
      <c r="C160" s="775"/>
      <c r="D160" s="775"/>
      <c r="E160" s="775"/>
      <c r="F160" s="775"/>
      <c r="G160" s="775"/>
      <c r="H160" s="775"/>
      <c r="I160" s="775"/>
      <c r="J160" s="775"/>
      <c r="K160" s="775"/>
      <c r="L160" s="775"/>
      <c r="M160" s="775"/>
      <c r="N160" s="775"/>
      <c r="O160" s="775"/>
      <c r="P160" s="775"/>
      <c r="Q160" s="29"/>
      <c r="R160" s="29"/>
      <c r="S160" s="29"/>
      <c r="T160" s="29"/>
      <c r="U160" s="29"/>
      <c r="V160" s="29"/>
      <c r="W160" s="29"/>
      <c r="X160" s="29"/>
      <c r="Y160" s="29"/>
      <c r="AV160" s="547"/>
      <c r="AW160" s="548"/>
      <c r="AY160" s="548"/>
      <c r="AZ160" s="386"/>
      <c r="BA160" s="387"/>
      <c r="BJ160" s="386"/>
      <c r="BK160" s="387"/>
      <c r="BN160" s="386"/>
      <c r="BO160" s="387"/>
      <c r="BR160" s="386"/>
      <c r="BS160" s="387"/>
    </row>
    <row r="161" spans="1:71" ht="13.5" customHeight="1">
      <c r="A161" s="40"/>
      <c r="B161" s="777"/>
      <c r="C161" s="775"/>
      <c r="D161" s="775"/>
      <c r="E161" s="775"/>
      <c r="F161" s="775"/>
      <c r="G161" s="775"/>
      <c r="H161" s="775"/>
      <c r="I161" s="775"/>
      <c r="J161" s="775"/>
      <c r="K161" s="775"/>
      <c r="L161" s="775"/>
      <c r="M161" s="775"/>
      <c r="N161" s="775"/>
      <c r="O161" s="775"/>
      <c r="P161" s="775"/>
      <c r="Q161" s="29"/>
      <c r="R161" s="29"/>
      <c r="S161" s="29"/>
      <c r="T161" s="29"/>
      <c r="U161" s="29"/>
      <c r="V161" s="29"/>
      <c r="W161" s="29"/>
      <c r="X161" s="29"/>
      <c r="Y161" s="29"/>
      <c r="AV161" s="547"/>
      <c r="AW161" s="548"/>
      <c r="AY161" s="548"/>
      <c r="AZ161" s="386"/>
      <c r="BA161" s="387"/>
      <c r="BJ161" s="386"/>
      <c r="BK161" s="387"/>
      <c r="BN161" s="386"/>
      <c r="BO161" s="387"/>
      <c r="BR161" s="386"/>
      <c r="BS161" s="387"/>
    </row>
    <row r="162" spans="1:71" ht="13.5" customHeight="1">
      <c r="A162" s="40"/>
      <c r="B162" s="777"/>
      <c r="C162" s="775"/>
      <c r="D162" s="775"/>
      <c r="E162" s="775"/>
      <c r="F162" s="775"/>
      <c r="G162" s="775"/>
      <c r="H162" s="775"/>
      <c r="I162" s="775"/>
      <c r="J162" s="775"/>
      <c r="K162" s="775"/>
      <c r="L162" s="775"/>
      <c r="M162" s="775"/>
      <c r="N162" s="775"/>
      <c r="O162" s="775"/>
      <c r="P162" s="775"/>
      <c r="Q162" s="29"/>
      <c r="R162" s="29"/>
      <c r="S162" s="29"/>
      <c r="T162" s="29"/>
      <c r="U162" s="29"/>
      <c r="V162" s="29"/>
      <c r="W162" s="29"/>
      <c r="X162" s="29"/>
      <c r="Y162" s="29"/>
      <c r="AV162" s="547"/>
      <c r="AW162" s="548"/>
      <c r="AY162" s="548"/>
      <c r="AZ162" s="386"/>
      <c r="BA162" s="387"/>
      <c r="BJ162" s="386"/>
      <c r="BK162" s="387"/>
      <c r="BN162" s="386"/>
      <c r="BO162" s="387"/>
      <c r="BR162" s="386"/>
      <c r="BS162" s="387"/>
    </row>
    <row r="163" spans="1:71" ht="13.5" customHeight="1">
      <c r="A163" s="40"/>
      <c r="B163" s="777"/>
      <c r="C163" s="775"/>
      <c r="D163" s="775"/>
      <c r="E163" s="775"/>
      <c r="F163" s="775"/>
      <c r="G163" s="775"/>
      <c r="H163" s="775"/>
      <c r="I163" s="775"/>
      <c r="J163" s="775"/>
      <c r="K163" s="775"/>
      <c r="L163" s="775"/>
      <c r="M163" s="775"/>
      <c r="N163" s="775"/>
      <c r="O163" s="775"/>
      <c r="P163" s="775"/>
      <c r="Q163" s="29"/>
      <c r="R163" s="29"/>
      <c r="S163" s="29"/>
      <c r="T163" s="29"/>
      <c r="U163" s="29"/>
      <c r="V163" s="29"/>
      <c r="W163" s="29"/>
      <c r="X163" s="29"/>
      <c r="Y163" s="29"/>
      <c r="AV163" s="547"/>
      <c r="AW163" s="548"/>
      <c r="AY163" s="548"/>
      <c r="AZ163" s="386"/>
      <c r="BA163" s="387"/>
      <c r="BJ163" s="386"/>
      <c r="BK163" s="387"/>
      <c r="BN163" s="386"/>
      <c r="BO163" s="387"/>
      <c r="BR163" s="386"/>
      <c r="BS163" s="387"/>
    </row>
    <row r="164" spans="1:71" ht="13.5" customHeight="1">
      <c r="A164" s="40"/>
      <c r="B164" s="777"/>
      <c r="C164" s="775"/>
      <c r="D164" s="775"/>
      <c r="E164" s="775"/>
      <c r="F164" s="775"/>
      <c r="G164" s="775"/>
      <c r="H164" s="775"/>
      <c r="I164" s="775"/>
      <c r="J164" s="775"/>
      <c r="K164" s="775"/>
      <c r="L164" s="775"/>
      <c r="M164" s="775"/>
      <c r="N164" s="775"/>
      <c r="O164" s="775"/>
      <c r="P164" s="775"/>
      <c r="Q164" s="29"/>
      <c r="R164" s="29"/>
      <c r="S164" s="29"/>
      <c r="T164" s="29"/>
      <c r="U164" s="29"/>
      <c r="V164" s="29"/>
      <c r="W164" s="29"/>
      <c r="X164" s="29"/>
      <c r="Y164" s="29"/>
      <c r="AV164" s="547"/>
      <c r="AW164" s="548"/>
      <c r="AY164" s="548"/>
      <c r="AZ164" s="386"/>
      <c r="BA164" s="387"/>
      <c r="BJ164" s="386"/>
      <c r="BK164" s="387"/>
      <c r="BN164" s="386"/>
      <c r="BO164" s="387"/>
      <c r="BR164" s="386"/>
      <c r="BS164" s="387"/>
    </row>
    <row r="165" spans="1:71" ht="13.5" customHeight="1">
      <c r="A165" s="40"/>
      <c r="B165" s="777"/>
      <c r="C165" s="775"/>
      <c r="D165" s="775"/>
      <c r="E165" s="775"/>
      <c r="F165" s="775"/>
      <c r="G165" s="775"/>
      <c r="H165" s="775"/>
      <c r="I165" s="775"/>
      <c r="J165" s="775"/>
      <c r="K165" s="775"/>
      <c r="L165" s="775"/>
      <c r="M165" s="775"/>
      <c r="N165" s="775"/>
      <c r="O165" s="775"/>
      <c r="P165" s="775"/>
      <c r="Q165" s="29"/>
      <c r="R165" s="29"/>
      <c r="S165" s="29"/>
      <c r="T165" s="29"/>
      <c r="U165" s="29"/>
      <c r="V165" s="29"/>
      <c r="W165" s="29"/>
      <c r="X165" s="29"/>
      <c r="Y165" s="29"/>
      <c r="AV165" s="547"/>
      <c r="AW165" s="548"/>
      <c r="AY165" s="548"/>
      <c r="AZ165" s="386"/>
      <c r="BA165" s="387"/>
      <c r="BJ165" s="386"/>
      <c r="BK165" s="387"/>
      <c r="BN165" s="386"/>
      <c r="BO165" s="387"/>
      <c r="BR165" s="386"/>
      <c r="BS165" s="387"/>
    </row>
    <row r="166" spans="1:71" ht="13.5" customHeight="1">
      <c r="A166" s="40"/>
      <c r="B166" s="777"/>
      <c r="C166" s="775"/>
      <c r="D166" s="775"/>
      <c r="E166" s="775"/>
      <c r="F166" s="775"/>
      <c r="G166" s="775"/>
      <c r="H166" s="775"/>
      <c r="I166" s="775"/>
      <c r="J166" s="775"/>
      <c r="K166" s="775"/>
      <c r="L166" s="775"/>
      <c r="M166" s="775"/>
      <c r="N166" s="775"/>
      <c r="O166" s="775"/>
      <c r="P166" s="775"/>
      <c r="Q166" s="29"/>
      <c r="R166" s="29"/>
      <c r="S166" s="29"/>
      <c r="T166" s="29"/>
      <c r="U166" s="29"/>
      <c r="V166" s="29"/>
      <c r="W166" s="29"/>
      <c r="X166" s="29"/>
      <c r="Y166" s="29"/>
      <c r="AV166" s="547"/>
      <c r="AW166" s="548"/>
      <c r="AY166" s="548"/>
      <c r="AZ166" s="386"/>
      <c r="BA166" s="387"/>
      <c r="BJ166" s="386"/>
      <c r="BK166" s="387"/>
      <c r="BN166" s="386"/>
      <c r="BO166" s="387"/>
      <c r="BR166" s="386"/>
      <c r="BS166" s="387"/>
    </row>
    <row r="167" spans="1:71" ht="13.5" customHeight="1">
      <c r="A167" s="40"/>
      <c r="B167" s="777"/>
      <c r="C167" s="775"/>
      <c r="D167" s="775"/>
      <c r="E167" s="775"/>
      <c r="F167" s="775"/>
      <c r="G167" s="775"/>
      <c r="H167" s="775"/>
      <c r="I167" s="775"/>
      <c r="J167" s="775"/>
      <c r="K167" s="775"/>
      <c r="L167" s="775"/>
      <c r="M167" s="775"/>
      <c r="N167" s="775"/>
      <c r="O167" s="775"/>
      <c r="P167" s="775"/>
      <c r="Q167" s="29"/>
      <c r="R167" s="29"/>
      <c r="S167" s="29"/>
      <c r="T167" s="29"/>
      <c r="U167" s="29"/>
      <c r="V167" s="29"/>
      <c r="W167" s="29"/>
      <c r="X167" s="29"/>
      <c r="Y167" s="29"/>
      <c r="AV167" s="547"/>
      <c r="AW167" s="548"/>
      <c r="AY167" s="548"/>
      <c r="AZ167" s="386"/>
      <c r="BA167" s="387"/>
      <c r="BJ167" s="386"/>
      <c r="BK167" s="387"/>
      <c r="BN167" s="386"/>
      <c r="BO167" s="387"/>
      <c r="BR167" s="386"/>
      <c r="BS167" s="387"/>
    </row>
    <row r="168" spans="1:71" ht="13.5" customHeight="1">
      <c r="A168" s="40"/>
      <c r="B168" s="777"/>
      <c r="C168" s="775"/>
      <c r="D168" s="775"/>
      <c r="E168" s="775"/>
      <c r="F168" s="775"/>
      <c r="G168" s="775"/>
      <c r="H168" s="775"/>
      <c r="I168" s="775"/>
      <c r="J168" s="775"/>
      <c r="K168" s="775"/>
      <c r="L168" s="775"/>
      <c r="M168" s="775"/>
      <c r="N168" s="775"/>
      <c r="O168" s="775"/>
      <c r="P168" s="775"/>
      <c r="Q168" s="29"/>
      <c r="R168" s="29"/>
      <c r="S168" s="29"/>
      <c r="T168" s="29"/>
      <c r="U168" s="29"/>
      <c r="V168" s="29"/>
      <c r="W168" s="29"/>
      <c r="X168" s="29"/>
      <c r="Y168" s="29"/>
      <c r="AV168" s="547"/>
      <c r="AW168" s="548"/>
      <c r="AY168" s="548"/>
      <c r="AZ168" s="386"/>
      <c r="BA168" s="387"/>
      <c r="BJ168" s="386"/>
      <c r="BK168" s="387"/>
      <c r="BN168" s="386"/>
      <c r="BO168" s="387"/>
      <c r="BR168" s="386"/>
      <c r="BS168" s="387"/>
    </row>
    <row r="169" spans="1:71" ht="13.5" customHeight="1">
      <c r="A169" s="40"/>
      <c r="B169" s="777"/>
      <c r="C169" s="775"/>
      <c r="D169" s="775"/>
      <c r="E169" s="775"/>
      <c r="F169" s="775"/>
      <c r="G169" s="775"/>
      <c r="H169" s="775"/>
      <c r="I169" s="775"/>
      <c r="J169" s="775"/>
      <c r="K169" s="775"/>
      <c r="L169" s="775"/>
      <c r="M169" s="775"/>
      <c r="N169" s="775"/>
      <c r="O169" s="775"/>
      <c r="P169" s="775"/>
      <c r="Q169" s="29"/>
      <c r="R169" s="29"/>
      <c r="S169" s="29"/>
      <c r="T169" s="29"/>
      <c r="U169" s="29"/>
      <c r="V169" s="29"/>
      <c r="W169" s="29"/>
      <c r="X169" s="29"/>
      <c r="Y169" s="29"/>
      <c r="AV169" s="547"/>
      <c r="AW169" s="548"/>
      <c r="AY169" s="548"/>
      <c r="AZ169" s="386"/>
      <c r="BA169" s="387"/>
      <c r="BJ169" s="386"/>
      <c r="BK169" s="387"/>
      <c r="BN169" s="386"/>
      <c r="BO169" s="387"/>
      <c r="BR169" s="386"/>
      <c r="BS169" s="387"/>
    </row>
    <row r="170" spans="1:71" ht="13.5" customHeight="1">
      <c r="A170" s="40"/>
      <c r="B170" s="777"/>
      <c r="C170" s="775"/>
      <c r="D170" s="775"/>
      <c r="E170" s="775"/>
      <c r="F170" s="775"/>
      <c r="G170" s="775"/>
      <c r="H170" s="775"/>
      <c r="I170" s="775"/>
      <c r="J170" s="775"/>
      <c r="K170" s="775"/>
      <c r="L170" s="775"/>
      <c r="M170" s="775"/>
      <c r="N170" s="775"/>
      <c r="O170" s="775"/>
      <c r="P170" s="775"/>
      <c r="Q170" s="29"/>
      <c r="R170" s="29"/>
      <c r="S170" s="29"/>
      <c r="T170" s="29"/>
      <c r="U170" s="29"/>
      <c r="V170" s="29"/>
      <c r="W170" s="29"/>
      <c r="X170" s="29"/>
      <c r="Y170" s="29"/>
      <c r="AV170" s="547"/>
      <c r="AW170" s="548"/>
      <c r="AY170" s="548"/>
      <c r="AZ170" s="386"/>
      <c r="BA170" s="387"/>
      <c r="BJ170" s="386"/>
      <c r="BK170" s="387"/>
      <c r="BN170" s="386"/>
      <c r="BO170" s="387"/>
      <c r="BR170" s="386"/>
      <c r="BS170" s="387"/>
    </row>
    <row r="171" spans="1:71" ht="13.5" customHeight="1">
      <c r="A171" s="40"/>
      <c r="B171" s="777"/>
      <c r="C171" s="775"/>
      <c r="D171" s="775"/>
      <c r="E171" s="775"/>
      <c r="F171" s="775"/>
      <c r="G171" s="775"/>
      <c r="H171" s="775"/>
      <c r="I171" s="775"/>
      <c r="J171" s="775"/>
      <c r="K171" s="775"/>
      <c r="L171" s="775"/>
      <c r="M171" s="775"/>
      <c r="N171" s="775"/>
      <c r="O171" s="775"/>
      <c r="P171" s="775"/>
      <c r="Q171" s="29"/>
      <c r="R171" s="29"/>
      <c r="S171" s="29"/>
      <c r="T171" s="29"/>
      <c r="U171" s="29"/>
      <c r="V171" s="29"/>
      <c r="W171" s="29"/>
      <c r="X171" s="29"/>
      <c r="Y171" s="29"/>
      <c r="AV171" s="547"/>
      <c r="AW171" s="548"/>
      <c r="AY171" s="548"/>
      <c r="AZ171" s="386"/>
      <c r="BA171" s="387"/>
      <c r="BJ171" s="386"/>
      <c r="BK171" s="387"/>
      <c r="BN171" s="386"/>
      <c r="BO171" s="387"/>
      <c r="BR171" s="386"/>
      <c r="BS171" s="387"/>
    </row>
    <row r="172" spans="1:71" ht="13.5" customHeight="1">
      <c r="A172" s="40"/>
      <c r="B172" s="777" t="s">
        <v>962</v>
      </c>
      <c r="C172" s="775">
        <v>86459000</v>
      </c>
      <c r="D172" s="775">
        <v>86582000</v>
      </c>
      <c r="E172" s="775">
        <v>84994000</v>
      </c>
      <c r="F172" s="775">
        <v>79189000</v>
      </c>
      <c r="G172" s="775"/>
      <c r="H172" s="775"/>
      <c r="I172" s="775"/>
      <c r="J172" s="775"/>
      <c r="K172" s="775"/>
      <c r="L172" s="775"/>
      <c r="M172" s="775"/>
      <c r="N172" s="775"/>
      <c r="O172" s="775">
        <f>SUM(C172:E172)/3</f>
        <v>86011666.666666672</v>
      </c>
      <c r="P172" s="779">
        <f>+F172/O172</f>
        <v>0.92067742748076808</v>
      </c>
      <c r="Q172" s="29"/>
      <c r="R172" s="29"/>
      <c r="S172" s="29"/>
      <c r="T172" s="29"/>
      <c r="U172" s="29"/>
      <c r="V172" s="29"/>
      <c r="W172" s="29"/>
      <c r="X172" s="29"/>
      <c r="Y172" s="29"/>
      <c r="AV172" s="547" t="s">
        <v>611</v>
      </c>
      <c r="AW172" s="548">
        <v>824000</v>
      </c>
      <c r="AY172" s="548"/>
      <c r="AZ172" s="386" t="s">
        <v>700</v>
      </c>
      <c r="BA172" s="387">
        <v>350479</v>
      </c>
      <c r="BJ172" s="386"/>
      <c r="BK172" s="387"/>
      <c r="BN172" s="386"/>
      <c r="BO172" s="387"/>
      <c r="BR172" s="386"/>
      <c r="BS172" s="387"/>
    </row>
    <row r="173" spans="1:71" ht="13.5" customHeight="1">
      <c r="A173" s="40"/>
      <c r="B173" s="393"/>
      <c r="C173" s="350"/>
      <c r="D173" s="350"/>
      <c r="E173" s="350"/>
      <c r="F173" s="29"/>
      <c r="G173" s="29"/>
      <c r="H173" s="29"/>
      <c r="I173" s="29"/>
      <c r="J173" s="29"/>
      <c r="K173" s="29"/>
      <c r="L173" s="29"/>
      <c r="M173" s="29"/>
      <c r="N173" s="29"/>
      <c r="O173" s="350"/>
      <c r="P173" s="29"/>
      <c r="Q173" s="29"/>
      <c r="R173" s="29"/>
      <c r="S173" s="29"/>
      <c r="T173" s="29"/>
      <c r="U173" s="29"/>
      <c r="V173" s="29"/>
      <c r="W173" s="29"/>
      <c r="X173" s="29"/>
      <c r="Y173" s="29"/>
      <c r="AV173" s="2"/>
      <c r="AW173" s="2"/>
      <c r="AY173" s="548"/>
      <c r="AZ173" s="386" t="s">
        <v>694</v>
      </c>
      <c r="BA173" s="387">
        <v>1899905</v>
      </c>
      <c r="BJ173" s="386"/>
      <c r="BK173" s="387"/>
      <c r="BN173" s="386"/>
      <c r="BO173" s="387"/>
      <c r="BR173" s="386"/>
      <c r="BS173" s="387"/>
    </row>
    <row r="174" spans="1:71" ht="13.5" customHeight="1">
      <c r="A174" s="40"/>
      <c r="B174" s="393"/>
      <c r="C174" s="29"/>
      <c r="D174" s="39"/>
      <c r="E174" s="29"/>
      <c r="F174" s="29"/>
      <c r="G174" s="29"/>
      <c r="H174" s="29"/>
      <c r="I174" s="29"/>
      <c r="J174" s="29"/>
      <c r="K174" s="29"/>
      <c r="L174" s="29"/>
      <c r="M174" s="29"/>
      <c r="N174" s="29"/>
      <c r="O174" s="29"/>
      <c r="P174" s="29"/>
      <c r="Q174" s="29"/>
      <c r="R174" s="29"/>
      <c r="S174" s="29"/>
      <c r="T174" s="29"/>
      <c r="U174" s="29"/>
      <c r="V174" s="29"/>
      <c r="W174" s="29"/>
      <c r="X174" s="29"/>
      <c r="Y174" s="29"/>
      <c r="AV174" s="2"/>
      <c r="AW174" s="2"/>
      <c r="AZ174" s="386" t="s">
        <v>690</v>
      </c>
      <c r="BA174" s="387">
        <v>165000</v>
      </c>
      <c r="BJ174" s="386"/>
      <c r="BK174" s="387"/>
      <c r="BN174" s="386"/>
      <c r="BO174" s="387"/>
      <c r="BR174" s="386"/>
      <c r="BS174" s="387"/>
    </row>
    <row r="175" spans="1:71" ht="13.5" customHeight="1">
      <c r="A175" s="40"/>
      <c r="B175" s="393" t="str">
        <f>+B33</f>
        <v>Recup C administracion años ant</v>
      </c>
      <c r="C175" s="29">
        <f>+C33</f>
        <v>4684685</v>
      </c>
      <c r="D175" s="29">
        <f t="shared" ref="D175:E175" si="33">+D33</f>
        <v>17662855</v>
      </c>
      <c r="E175" s="29">
        <f t="shared" si="33"/>
        <v>1026066</v>
      </c>
      <c r="F175" s="29">
        <f>+F33</f>
        <v>0</v>
      </c>
      <c r="G175" s="29"/>
      <c r="H175" s="29"/>
      <c r="I175" s="29"/>
      <c r="J175" s="29"/>
      <c r="K175" s="29"/>
      <c r="L175" s="29"/>
      <c r="M175" s="29"/>
      <c r="N175" s="29"/>
      <c r="O175" s="116">
        <f>SUM(C175:E175)</f>
        <v>23373606</v>
      </c>
      <c r="P175" s="29"/>
      <c r="Q175" s="29"/>
      <c r="R175" s="29"/>
      <c r="S175" s="29"/>
      <c r="T175" s="29"/>
      <c r="U175" s="29"/>
      <c r="V175" s="29"/>
      <c r="W175" s="29"/>
      <c r="X175" s="29"/>
      <c r="Y175" s="29"/>
      <c r="AV175" s="2"/>
      <c r="AW175" s="2"/>
      <c r="AZ175" s="386" t="s">
        <v>694</v>
      </c>
      <c r="BA175" s="387">
        <v>166600</v>
      </c>
      <c r="BJ175" s="386"/>
      <c r="BK175" s="387"/>
      <c r="BN175" s="386"/>
      <c r="BO175" s="387"/>
      <c r="BR175" s="386"/>
      <c r="BS175" s="387"/>
    </row>
    <row r="176" spans="1:71" ht="13.5" customHeight="1">
      <c r="A176" s="40"/>
      <c r="B176" s="393"/>
      <c r="C176" s="29"/>
      <c r="D176" s="39"/>
      <c r="E176" s="29"/>
      <c r="F176" s="29"/>
      <c r="G176" s="29"/>
      <c r="H176" s="29"/>
      <c r="I176" s="29"/>
      <c r="J176" s="29"/>
      <c r="K176" s="29"/>
      <c r="L176" s="29"/>
      <c r="M176" s="29"/>
      <c r="N176" s="29"/>
      <c r="O176" s="29"/>
      <c r="P176" s="29"/>
      <c r="Q176" s="29"/>
      <c r="R176" s="29"/>
      <c r="S176" s="29"/>
      <c r="T176" s="29"/>
      <c r="U176" s="29"/>
      <c r="V176" s="29"/>
      <c r="W176" s="29"/>
      <c r="X176" s="29"/>
      <c r="Y176" s="29"/>
      <c r="AV176" s="2"/>
      <c r="AW176" s="2"/>
      <c r="AZ176" s="386" t="s">
        <v>700</v>
      </c>
      <c r="BA176" s="387">
        <v>689724</v>
      </c>
      <c r="BJ176" s="386"/>
      <c r="BK176" s="387"/>
      <c r="BN176" s="386"/>
      <c r="BO176" s="387"/>
      <c r="BR176" s="386"/>
      <c r="BS176" s="387"/>
    </row>
    <row r="177" spans="1:71" ht="13.5" customHeight="1">
      <c r="A177" s="40"/>
      <c r="B177" s="393"/>
      <c r="C177" s="29"/>
      <c r="D177" s="39"/>
      <c r="E177" s="29"/>
      <c r="F177" s="29"/>
      <c r="G177" s="29"/>
      <c r="H177" s="29"/>
      <c r="I177" s="29"/>
      <c r="J177" s="29"/>
      <c r="K177" s="29"/>
      <c r="L177" s="29"/>
      <c r="M177" s="29"/>
      <c r="N177" s="29"/>
      <c r="O177" s="29"/>
      <c r="P177" s="29"/>
      <c r="Q177" s="29"/>
      <c r="R177" s="29"/>
      <c r="S177" s="29"/>
      <c r="T177" s="29"/>
      <c r="U177" s="29"/>
      <c r="V177" s="29"/>
      <c r="W177" s="29"/>
      <c r="X177" s="29"/>
      <c r="Y177" s="29"/>
      <c r="AV177" s="2"/>
      <c r="AW177" s="2"/>
      <c r="AZ177" s="386" t="s">
        <v>693</v>
      </c>
      <c r="BA177" s="387">
        <v>824000</v>
      </c>
      <c r="BJ177" s="386"/>
      <c r="BK177" s="387"/>
      <c r="BN177" s="386"/>
      <c r="BO177" s="387"/>
      <c r="BR177" s="386"/>
      <c r="BS177" s="387"/>
    </row>
    <row r="178" spans="1:71" ht="13.5" customHeight="1">
      <c r="A178" s="40"/>
      <c r="B178" s="393" t="s">
        <v>1022</v>
      </c>
      <c r="C178" s="29"/>
      <c r="D178" s="39"/>
      <c r="E178" s="29"/>
      <c r="F178" s="29"/>
      <c r="G178" s="29"/>
      <c r="H178" s="29"/>
      <c r="I178" s="29"/>
      <c r="J178" s="29"/>
      <c r="K178" s="29"/>
      <c r="L178" s="29"/>
      <c r="M178" s="29"/>
      <c r="N178" s="29"/>
      <c r="O178" s="29">
        <v>75083344</v>
      </c>
      <c r="P178" s="29"/>
      <c r="Q178" s="29"/>
      <c r="R178" s="29"/>
      <c r="S178" s="29"/>
      <c r="T178" s="29"/>
      <c r="U178" s="29"/>
      <c r="V178" s="29"/>
      <c r="W178" s="29"/>
      <c r="X178" s="29"/>
      <c r="Y178" s="29"/>
      <c r="AV178" s="2"/>
      <c r="AW178" s="2"/>
      <c r="AZ178" s="386" t="s">
        <v>697</v>
      </c>
      <c r="BA178" s="387">
        <v>467950</v>
      </c>
      <c r="BJ178" s="386"/>
      <c r="BK178" s="387"/>
      <c r="BN178" s="386"/>
      <c r="BO178" s="387"/>
      <c r="BR178" s="386"/>
      <c r="BS178" s="387"/>
    </row>
    <row r="179" spans="1:71" ht="13.5" customHeight="1">
      <c r="A179" s="40"/>
      <c r="B179" s="393" t="str">
        <f>+B175</f>
        <v>Recup C administracion años ant</v>
      </c>
      <c r="C179" s="29"/>
      <c r="D179" s="39"/>
      <c r="E179" s="29"/>
      <c r="F179" s="29"/>
      <c r="G179" s="29"/>
      <c r="H179" s="29"/>
      <c r="I179" s="29"/>
      <c r="J179" s="29"/>
      <c r="K179" s="29"/>
      <c r="L179" s="29"/>
      <c r="M179" s="29"/>
      <c r="N179" s="29"/>
      <c r="O179" s="29">
        <f>-O33</f>
        <v>-26365806</v>
      </c>
      <c r="P179" s="29"/>
      <c r="Q179" s="29"/>
      <c r="R179" s="29"/>
      <c r="S179" s="29"/>
      <c r="T179" s="29"/>
      <c r="U179" s="29"/>
      <c r="V179" s="29"/>
      <c r="W179" s="29"/>
      <c r="X179" s="29"/>
      <c r="Y179" s="29"/>
      <c r="AV179" s="2"/>
      <c r="AW179" s="2"/>
      <c r="BN179" s="386"/>
      <c r="BO179" s="387"/>
      <c r="BR179" s="36"/>
      <c r="BS179" s="387"/>
    </row>
    <row r="180" spans="1:71" ht="13.5" customHeight="1">
      <c r="A180" s="40"/>
      <c r="B180" s="393" t="str">
        <f>+B77</f>
        <v>POR RECAUDAR  ENERO A DIC/120</v>
      </c>
      <c r="C180" s="29"/>
      <c r="D180" s="39"/>
      <c r="E180" s="29"/>
      <c r="F180" s="29"/>
      <c r="G180" s="29"/>
      <c r="H180" s="29"/>
      <c r="I180" s="29"/>
      <c r="J180" s="29"/>
      <c r="K180" s="29"/>
      <c r="L180" s="29"/>
      <c r="M180" s="29"/>
      <c r="N180" s="29"/>
      <c r="O180" s="29">
        <f>+O77</f>
        <v>35110032</v>
      </c>
      <c r="P180" s="29"/>
      <c r="Q180" s="29"/>
      <c r="R180" s="29"/>
      <c r="S180" s="29"/>
      <c r="T180" s="29"/>
      <c r="U180" s="29"/>
      <c r="V180" s="29"/>
      <c r="W180" s="29"/>
      <c r="X180" s="29"/>
      <c r="Y180" s="29"/>
      <c r="AV180" s="2"/>
      <c r="AW180" s="2"/>
      <c r="BN180" s="386"/>
      <c r="BO180" s="387"/>
      <c r="BR180" s="386"/>
      <c r="BS180" s="387"/>
    </row>
    <row r="181" spans="1:71" ht="13.5" customHeight="1">
      <c r="A181" s="40"/>
      <c r="B181" s="393" t="s">
        <v>1023</v>
      </c>
      <c r="C181" s="29"/>
      <c r="D181" s="39"/>
      <c r="E181" s="29"/>
      <c r="F181" s="29"/>
      <c r="G181" s="29"/>
      <c r="H181" s="29"/>
      <c r="I181" s="29"/>
      <c r="J181" s="29"/>
      <c r="K181" s="29"/>
      <c r="L181" s="29"/>
      <c r="M181" s="29"/>
      <c r="N181" s="29"/>
      <c r="O181" s="29">
        <f>SUM(O178:O180)</f>
        <v>83827570</v>
      </c>
      <c r="P181" s="29"/>
      <c r="Q181" s="29"/>
      <c r="R181" s="29"/>
      <c r="S181" s="29"/>
      <c r="T181" s="29"/>
      <c r="U181" s="29"/>
      <c r="V181" s="29"/>
      <c r="W181" s="29"/>
      <c r="X181" s="29"/>
      <c r="Y181" s="29"/>
      <c r="AV181" s="2"/>
      <c r="AW181" s="2"/>
      <c r="BN181" s="386"/>
      <c r="BO181" s="387"/>
      <c r="BR181" s="386"/>
      <c r="BS181" s="387"/>
    </row>
    <row r="182" spans="1:71" ht="13.5" customHeight="1">
      <c r="A182" s="40"/>
      <c r="C182" s="29"/>
      <c r="D182" s="36"/>
      <c r="E182" s="35"/>
      <c r="F182" s="29"/>
      <c r="G182" s="29"/>
      <c r="H182" s="29"/>
      <c r="I182" s="29"/>
      <c r="J182" s="29"/>
      <c r="K182" s="29"/>
      <c r="L182" s="29"/>
      <c r="M182" s="29"/>
      <c r="N182" s="29"/>
      <c r="O182" s="29"/>
      <c r="P182" s="29"/>
      <c r="Q182" s="29"/>
      <c r="R182" s="29"/>
      <c r="S182" s="29"/>
      <c r="T182" s="29"/>
      <c r="U182" s="29"/>
      <c r="V182" s="29"/>
      <c r="W182" s="29"/>
      <c r="X182" s="29"/>
      <c r="Y182" s="29"/>
      <c r="BN182" s="386"/>
      <c r="BO182" s="387"/>
    </row>
    <row r="183" spans="1:71" ht="13.5" customHeight="1">
      <c r="A183" s="40"/>
      <c r="B183" s="393" t="s">
        <v>1024</v>
      </c>
      <c r="C183" s="29"/>
      <c r="D183" s="36"/>
      <c r="E183" s="35"/>
      <c r="F183" s="29"/>
      <c r="G183" s="29"/>
      <c r="H183" s="29"/>
      <c r="I183" s="29"/>
      <c r="J183" s="29"/>
      <c r="K183" s="29"/>
      <c r="L183" s="29"/>
      <c r="M183" s="29"/>
      <c r="N183" s="29"/>
      <c r="O183" s="29">
        <f>+junio!B13</f>
        <v>84421354</v>
      </c>
      <c r="P183" s="29"/>
      <c r="Q183" s="29"/>
      <c r="R183" s="29"/>
      <c r="S183" s="29"/>
      <c r="T183" s="29"/>
      <c r="U183" s="29"/>
      <c r="V183" s="29"/>
      <c r="W183" s="29"/>
      <c r="X183" s="29"/>
      <c r="Y183" s="29"/>
      <c r="BN183" s="386"/>
      <c r="BO183" s="387"/>
    </row>
    <row r="184" spans="1:71" ht="13.5" customHeight="1">
      <c r="A184" s="40"/>
      <c r="B184" s="393" t="s">
        <v>1025</v>
      </c>
      <c r="C184" s="29"/>
      <c r="D184" s="36"/>
      <c r="E184" s="35"/>
      <c r="F184" s="29"/>
      <c r="G184" s="29"/>
      <c r="H184" s="29"/>
      <c r="I184" s="29"/>
      <c r="J184" s="29"/>
      <c r="K184" s="29"/>
      <c r="L184" s="29"/>
      <c r="M184" s="29"/>
      <c r="N184" s="29"/>
      <c r="O184" s="29">
        <f>+O181-O183</f>
        <v>-593784</v>
      </c>
      <c r="P184" s="29"/>
      <c r="Q184" s="29"/>
      <c r="R184" s="29"/>
      <c r="S184" s="29"/>
      <c r="T184" s="29"/>
      <c r="U184" s="29"/>
      <c r="V184" s="29"/>
      <c r="W184" s="29"/>
      <c r="X184" s="29"/>
      <c r="Y184" s="29"/>
    </row>
    <row r="185" spans="1:71" ht="13.5" customHeight="1">
      <c r="A185" s="40"/>
      <c r="C185" s="29"/>
      <c r="D185" s="36"/>
      <c r="E185" s="35"/>
      <c r="F185" s="29"/>
      <c r="G185" s="29"/>
      <c r="H185" s="29"/>
      <c r="I185" s="29"/>
      <c r="J185" s="29"/>
      <c r="K185" s="29"/>
      <c r="L185" s="29"/>
      <c r="M185" s="29"/>
      <c r="N185" s="29"/>
      <c r="O185" s="29"/>
      <c r="P185" s="29"/>
      <c r="Q185" s="29"/>
      <c r="R185" s="29"/>
      <c r="S185" s="29"/>
      <c r="T185" s="29"/>
      <c r="U185" s="29"/>
      <c r="V185" s="29"/>
      <c r="W185" s="29"/>
      <c r="X185" s="29"/>
      <c r="Y185" s="29"/>
    </row>
    <row r="186" spans="1:71" ht="13.5" customHeight="1">
      <c r="A186" s="40"/>
      <c r="C186" s="29"/>
      <c r="D186" s="36"/>
      <c r="E186" s="35"/>
      <c r="F186" s="29"/>
      <c r="G186" s="29"/>
      <c r="H186" s="29"/>
      <c r="I186" s="29"/>
      <c r="J186" s="29"/>
      <c r="K186" s="29"/>
      <c r="L186" s="29"/>
      <c r="M186" s="29"/>
      <c r="N186" s="29"/>
      <c r="O186" s="29"/>
      <c r="P186" s="29"/>
      <c r="Q186" s="29"/>
      <c r="R186" s="29"/>
      <c r="S186" s="29"/>
      <c r="T186" s="29"/>
      <c r="U186" s="29"/>
      <c r="V186" s="29"/>
      <c r="W186" s="29"/>
      <c r="X186" s="29"/>
      <c r="Y186" s="29"/>
    </row>
    <row r="187" spans="1:71" ht="13.5" customHeight="1">
      <c r="A187" s="40"/>
      <c r="C187" s="29"/>
      <c r="D187" s="36"/>
      <c r="E187" s="35"/>
      <c r="F187" s="29"/>
      <c r="G187" s="29"/>
      <c r="H187" s="29"/>
      <c r="I187" s="29"/>
      <c r="J187" s="29"/>
      <c r="K187" s="29"/>
      <c r="L187" s="29"/>
      <c r="M187" s="29"/>
      <c r="N187" s="29"/>
      <c r="O187" s="29"/>
      <c r="P187" s="29"/>
      <c r="Q187" s="29"/>
      <c r="R187" s="29"/>
      <c r="S187" s="29"/>
      <c r="T187" s="29"/>
      <c r="U187" s="29"/>
      <c r="V187" s="29"/>
      <c r="W187" s="29"/>
      <c r="X187" s="29"/>
      <c r="Y187" s="29"/>
    </row>
    <row r="188" spans="1:71" ht="13.5" customHeight="1">
      <c r="A188" s="40"/>
      <c r="C188" s="29"/>
      <c r="D188" s="36"/>
      <c r="E188" s="35"/>
      <c r="F188" s="29"/>
      <c r="G188" s="29"/>
      <c r="H188" s="29"/>
      <c r="I188" s="29"/>
      <c r="J188" s="29"/>
      <c r="K188" s="29"/>
      <c r="L188" s="29"/>
      <c r="M188" s="29"/>
      <c r="N188" s="29"/>
      <c r="O188" s="29"/>
      <c r="P188" s="29"/>
      <c r="Q188" s="29"/>
      <c r="R188" s="29"/>
      <c r="S188" s="29"/>
      <c r="T188" s="29"/>
      <c r="U188" s="29"/>
      <c r="V188" s="29"/>
      <c r="W188" s="29"/>
      <c r="X188" s="29"/>
      <c r="Y188" s="29"/>
    </row>
    <row r="189" spans="1:71" ht="13.5" customHeight="1">
      <c r="D189" s="36"/>
      <c r="E189" s="35"/>
    </row>
    <row r="190" spans="1:71" ht="13.5" customHeight="1">
      <c r="D190" s="36"/>
      <c r="E190" s="35"/>
    </row>
    <row r="191" spans="1:71" ht="13.5" customHeight="1">
      <c r="D191" s="36"/>
      <c r="E191" s="35"/>
    </row>
    <row r="192" spans="1:71" ht="13.5" customHeight="1">
      <c r="D192" s="36"/>
      <c r="E192" s="35"/>
    </row>
    <row r="193" spans="4:5" ht="13.5" customHeight="1">
      <c r="D193" s="36"/>
      <c r="E193" s="35"/>
    </row>
    <row r="194" spans="4:5" ht="13.5" customHeight="1">
      <c r="D194" s="36"/>
      <c r="E194" s="35"/>
    </row>
    <row r="195" spans="4:5" ht="13.5" customHeight="1">
      <c r="D195" s="36"/>
      <c r="E195" s="35"/>
    </row>
    <row r="196" spans="4:5" ht="13.5" customHeight="1">
      <c r="D196" s="36"/>
      <c r="E196" s="35"/>
    </row>
    <row r="197" spans="4:5" ht="13.5" customHeight="1">
      <c r="D197" s="36"/>
      <c r="E197" s="35"/>
    </row>
    <row r="198" spans="4:5" ht="13.5" customHeight="1">
      <c r="D198" s="36"/>
      <c r="E198" s="35"/>
    </row>
    <row r="199" spans="4:5" ht="13.5" customHeight="1">
      <c r="D199" s="36"/>
      <c r="E199" s="35"/>
    </row>
    <row r="200" spans="4:5" ht="13.5" customHeight="1">
      <c r="D200" s="36"/>
      <c r="E200" s="35"/>
    </row>
    <row r="201" spans="4:5" ht="13.5" customHeight="1">
      <c r="D201" s="36"/>
      <c r="E201" s="35"/>
    </row>
    <row r="202" spans="4:5" ht="13.5" customHeight="1">
      <c r="D202" s="36"/>
      <c r="E202" s="35"/>
    </row>
    <row r="203" spans="4:5" ht="13.5" customHeight="1">
      <c r="D203" s="36"/>
      <c r="E203" s="35"/>
    </row>
    <row r="204" spans="4:5" ht="13.5" customHeight="1">
      <c r="D204" s="36"/>
      <c r="E204" s="35"/>
    </row>
    <row r="205" spans="4:5" ht="13.5" customHeight="1">
      <c r="D205" s="36"/>
      <c r="E205" s="35"/>
    </row>
    <row r="206" spans="4:5" ht="13.5" customHeight="1">
      <c r="D206" s="36"/>
      <c r="E206" s="35"/>
    </row>
    <row r="207" spans="4:5" ht="13.5" customHeight="1">
      <c r="D207" s="36"/>
      <c r="E207" s="35"/>
    </row>
    <row r="208" spans="4:5" ht="13.5" customHeight="1">
      <c r="D208" s="36"/>
      <c r="E208" s="35"/>
    </row>
    <row r="209" spans="4:5" ht="13.5" customHeight="1">
      <c r="D209" s="36"/>
      <c r="E209" s="35"/>
    </row>
    <row r="210" spans="4:5" ht="13.5" customHeight="1">
      <c r="D210" s="36"/>
      <c r="E210" s="35"/>
    </row>
    <row r="211" spans="4:5" ht="13.5" customHeight="1">
      <c r="D211" s="36"/>
      <c r="E211" s="35"/>
    </row>
    <row r="212" spans="4:5" ht="13.5" customHeight="1">
      <c r="D212" s="36"/>
      <c r="E212" s="35"/>
    </row>
    <row r="213" spans="4:5" ht="13.5" customHeight="1">
      <c r="D213" s="36"/>
      <c r="E213" s="35"/>
    </row>
    <row r="214" spans="4:5" ht="13.5" customHeight="1">
      <c r="D214" s="36"/>
      <c r="E214" s="35"/>
    </row>
    <row r="215" spans="4:5" ht="13.5" customHeight="1">
      <c r="D215" s="36"/>
      <c r="E215" s="35"/>
    </row>
    <row r="216" spans="4:5" ht="13.5" customHeight="1">
      <c r="D216" s="36"/>
      <c r="E216" s="35"/>
    </row>
    <row r="217" spans="4:5" ht="13.5" customHeight="1">
      <c r="D217" s="36"/>
      <c r="E217" s="35"/>
    </row>
    <row r="218" spans="4:5" ht="13.5" customHeight="1">
      <c r="D218" s="36"/>
      <c r="E218" s="35"/>
    </row>
    <row r="219" spans="4:5" ht="13.5" customHeight="1">
      <c r="D219" s="36"/>
      <c r="E219" s="35"/>
    </row>
    <row r="220" spans="4:5" ht="13.5" customHeight="1">
      <c r="D220" s="36"/>
      <c r="E220" s="35"/>
    </row>
    <row r="221" spans="4:5" ht="13.5" customHeight="1">
      <c r="D221" s="36"/>
      <c r="E221" s="35"/>
    </row>
    <row r="222" spans="4:5" ht="13.5" customHeight="1">
      <c r="D222" s="36"/>
      <c r="E222" s="35"/>
    </row>
    <row r="223" spans="4:5" ht="13.5" customHeight="1">
      <c r="D223" s="36"/>
      <c r="E223" s="35"/>
    </row>
    <row r="224" spans="4:5" ht="13.5" customHeight="1">
      <c r="D224" s="36"/>
      <c r="E224" s="35"/>
    </row>
    <row r="225" spans="4:5" ht="13.5" customHeight="1">
      <c r="D225" s="36"/>
      <c r="E225" s="35"/>
    </row>
    <row r="226" spans="4:5" ht="13.5" customHeight="1">
      <c r="D226" s="36"/>
      <c r="E226" s="35"/>
    </row>
    <row r="227" spans="4:5" ht="13.5" customHeight="1">
      <c r="D227" s="36"/>
      <c r="E227" s="35"/>
    </row>
    <row r="228" spans="4:5" ht="13.5" customHeight="1">
      <c r="D228" s="36"/>
      <c r="E228" s="35"/>
    </row>
    <row r="229" spans="4:5" ht="13.5" customHeight="1">
      <c r="D229" s="36"/>
      <c r="E229" s="35"/>
    </row>
    <row r="230" spans="4:5" ht="13.5" customHeight="1">
      <c r="D230" s="36"/>
      <c r="E230" s="35"/>
    </row>
    <row r="231" spans="4:5" ht="13.5" customHeight="1">
      <c r="D231" s="36"/>
      <c r="E231" s="35"/>
    </row>
    <row r="232" spans="4:5" ht="13.5" customHeight="1">
      <c r="D232" s="36"/>
      <c r="E232" s="35"/>
    </row>
    <row r="233" spans="4:5" ht="13.5" customHeight="1">
      <c r="D233" s="36"/>
      <c r="E233" s="35"/>
    </row>
  </sheetData>
  <sortState ref="A31:I58">
    <sortCondition ref="A31:A58"/>
  </sortState>
  <mergeCells count="3">
    <mergeCell ref="B1:O1"/>
    <mergeCell ref="B2:O2"/>
    <mergeCell ref="B3:O3"/>
  </mergeCells>
  <printOptions horizontalCentered="1" verticalCentered="1"/>
  <pageMargins left="0.31496062992125984" right="0.31496062992125984" top="0.15748031496062992" bottom="0.15748031496062992" header="0.31496062992125984" footer="0.31496062992125984"/>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18</vt:i4>
      </vt:variant>
    </vt:vector>
  </HeadingPairs>
  <TitlesOfParts>
    <vt:vector size="37" baseType="lpstr">
      <vt:lpstr>ESF (3)</vt:lpstr>
      <vt:lpstr>ENE (2)</vt:lpstr>
      <vt:lpstr>ABRIL (2)</vt:lpstr>
      <vt:lpstr>FEB (2)</vt:lpstr>
      <vt:lpstr>MARZ (2)</vt:lpstr>
      <vt:lpstr>mayo (2)</vt:lpstr>
      <vt:lpstr>EJEC (2)</vt:lpstr>
      <vt:lpstr>junio</vt:lpstr>
      <vt:lpstr>EFECTIVO</vt:lpstr>
      <vt:lpstr>ESF</vt:lpstr>
      <vt:lpstr>CXCOBRAR</vt:lpstr>
      <vt:lpstr>abogado</vt:lpstr>
      <vt:lpstr>CONCI (2)</vt:lpstr>
      <vt:lpstr>EJEC</vt:lpstr>
      <vt:lpstr>reclas</vt:lpstr>
      <vt:lpstr>reclas (2)</vt:lpstr>
      <vt:lpstr>PRY20 (3)</vt:lpstr>
      <vt:lpstr>OTROS ING (2)</vt:lpstr>
      <vt:lpstr>OBRAS</vt:lpstr>
      <vt:lpstr>abogado!Área_de_impresión</vt:lpstr>
      <vt:lpstr>'ABRIL (2)'!Área_de_impresión</vt:lpstr>
      <vt:lpstr>'CONCI (2)'!Área_de_impresión</vt:lpstr>
      <vt:lpstr>CXCOBRAR!Área_de_impresión</vt:lpstr>
      <vt:lpstr>EFECTIVO!Área_de_impresión</vt:lpstr>
      <vt:lpstr>EJEC!Área_de_impresión</vt:lpstr>
      <vt:lpstr>'EJEC (2)'!Área_de_impresión</vt:lpstr>
      <vt:lpstr>'ENE (2)'!Área_de_impresión</vt:lpstr>
      <vt:lpstr>'FEB (2)'!Área_de_impresión</vt:lpstr>
      <vt:lpstr>junio!Área_de_impresión</vt:lpstr>
      <vt:lpstr>'MARZ (2)'!Área_de_impresión</vt:lpstr>
      <vt:lpstr>'mayo (2)'!Área_de_impresión</vt:lpstr>
      <vt:lpstr>'OTROS ING (2)'!Área_de_impresión</vt:lpstr>
      <vt:lpstr>'PRY20 (3)'!Área_de_impresión</vt:lpstr>
      <vt:lpstr>CXCOBRAR!Títulos_a_imprimir</vt:lpstr>
      <vt:lpstr>EJEC!Títulos_a_imprimir</vt:lpstr>
      <vt:lpstr>'EJEC (2)'!Títulos_a_imprimir</vt:lpstr>
      <vt:lpstr>'PRY20 (3)'!Títulos_a_imprimir</vt:lpstr>
    </vt:vector>
  </TitlesOfParts>
  <Company>Family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Familia</dc:creator>
  <cp:lastModifiedBy>Windows User</cp:lastModifiedBy>
  <cp:lastPrinted>2020-07-14T01:12:03Z</cp:lastPrinted>
  <dcterms:created xsi:type="dcterms:W3CDTF">2006-04-01T05:06:27Z</dcterms:created>
  <dcterms:modified xsi:type="dcterms:W3CDTF">2020-07-14T17:19:37Z</dcterms:modified>
</cp:coreProperties>
</file>